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drawings/drawing1.xml" ContentType="application/vnd.openxmlformats-officedocument.drawing+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7.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xl/comments12.xml" ContentType="application/vnd.openxmlformats-officedocument.spreadsheetml.comments+xml"/>
  <Override PartName="/xl/comments13.xml" ContentType="application/vnd.openxmlformats-officedocument.spreadsheetml.comments+xml"/>
  <Override PartName="/xl/comments4.xml" ContentType="application/vnd.openxmlformats-officedocument.spreadsheetml.comments+xml"/>
  <Override PartName="/xl/comments14.xml" ContentType="application/vnd.openxmlformats-officedocument.spreadsheetml.comments+xml"/>
  <Override PartName="/xl/comments5.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15.xml" ContentType="application/vnd.openxmlformats-officedocument.spreadsheetml.comments+xml"/>
  <Override PartName="/xl/comments3.xml" ContentType="application/vnd.openxmlformats-officedocument.spreadsheetml.comments+xml"/>
  <Override PartName="/xl/comments20.xml" ContentType="application/vnd.openxmlformats-officedocument.spreadsheetml.comments+xml"/>
  <Override PartName="/xl/comments1.xml" ContentType="application/vnd.openxmlformats-officedocument.spreadsheetml.comments+xml"/>
  <Override PartName="/xl/comments19.xml" ContentType="application/vnd.openxmlformats-officedocument.spreadsheetml.comments+xml"/>
  <Override PartName="/xl/comments18.xml" ContentType="application/vnd.openxmlformats-officedocument.spreadsheetml.comments+xml"/>
  <Override PartName="/xl/comments2.xml" ContentType="application/vnd.openxmlformats-officedocument.spreadsheetml.comments+xml"/>
  <Override PartName="/xl/comments17.xml" ContentType="application/vnd.openxmlformats-officedocument.spreadsheetml.comments+xml"/>
  <Override PartName="/xl/comments1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6890" windowHeight="4830" tabRatio="1000"/>
  </bookViews>
  <sheets>
    <sheet name="09-10 Compiled Stats" sheetId="25" r:id="rId1"/>
    <sheet name="Bakersfield" sheetId="6" r:id="rId2"/>
    <sheet name="Channel_Islands" sheetId="28" r:id="rId3"/>
    <sheet name="Chico" sheetId="29" r:id="rId4"/>
    <sheet name="Dominguez_Hills" sheetId="24" r:id="rId5"/>
    <sheet name="East_Bay" sheetId="9" r:id="rId6"/>
    <sheet name="Fresno" sheetId="10" r:id="rId7"/>
    <sheet name="Fullerton" sheetId="11" r:id="rId8"/>
    <sheet name="Humboldt" sheetId="12" r:id="rId9"/>
    <sheet name="Long_Beach" sheetId="13" r:id="rId10"/>
    <sheet name="Los_Angeles" sheetId="26" r:id="rId11"/>
    <sheet name="Maritime_Academy" sheetId="8" r:id="rId12"/>
    <sheet name="Monterey_Bay" sheetId="14" r:id="rId13"/>
    <sheet name="Northridge" sheetId="15" r:id="rId14"/>
    <sheet name="Pomona" sheetId="16" r:id="rId15"/>
    <sheet name="Sacramento" sheetId="17" r:id="rId16"/>
    <sheet name="San_Bernardino" sheetId="7" r:id="rId17"/>
    <sheet name="San_Diego" sheetId="18" r:id="rId18"/>
    <sheet name="San_Francisco" sheetId="5" r:id="rId19"/>
    <sheet name="San_Jose" sheetId="21" r:id="rId20"/>
    <sheet name="San_Luis_Obispo" sheetId="19" r:id="rId21"/>
    <sheet name="San_Marcos" sheetId="20" r:id="rId22"/>
    <sheet name="Sonoma" sheetId="22" r:id="rId23"/>
    <sheet name="Stanislaus" sheetId="23" r:id="rId24"/>
  </sheets>
  <definedNames>
    <definedName name="_xlnm.Print_Area" localSheetId="0">'09-10 Compiled Stats'!$A$1:$GJ$32</definedName>
    <definedName name="_xlnm.Print_Area" localSheetId="18">San_Francisco!$A$1:$G$251</definedName>
    <definedName name="_xlnm.Print_Titles" localSheetId="0">'09-10 Compiled Stats'!$A:$A</definedName>
  </definedNames>
  <calcPr calcId="125725"/>
</workbook>
</file>

<file path=xl/calcChain.xml><?xml version="1.0" encoding="utf-8"?>
<calcChain xmlns="http://schemas.openxmlformats.org/spreadsheetml/2006/main">
  <c r="G251" i="5"/>
  <c r="G250"/>
  <c r="G249"/>
  <c r="G248"/>
  <c r="G247"/>
  <c r="G246"/>
  <c r="CP22" i="25"/>
  <c r="CQ22"/>
  <c r="CS22"/>
  <c r="CT22"/>
  <c r="CU22"/>
  <c r="CV22"/>
  <c r="CW22"/>
  <c r="CX22"/>
  <c r="CY22"/>
  <c r="CZ22"/>
  <c r="CZ21"/>
  <c r="DA22"/>
  <c r="CO22"/>
  <c r="CM22"/>
  <c r="CL22"/>
  <c r="CJ22"/>
  <c r="CJ21"/>
  <c r="CI22"/>
  <c r="CI21"/>
  <c r="CH22"/>
  <c r="CF22"/>
  <c r="CE22"/>
  <c r="CB22"/>
  <c r="CB21"/>
  <c r="CA22"/>
  <c r="CA21"/>
  <c r="BY22"/>
  <c r="BY21"/>
  <c r="BX22"/>
  <c r="BX21"/>
  <c r="BW22"/>
  <c r="BV22"/>
  <c r="BV21"/>
  <c r="H48" i="14"/>
  <c r="G250" l="1"/>
  <c r="G249"/>
  <c r="G248"/>
  <c r="G247"/>
  <c r="G246"/>
  <c r="GB5" i="25"/>
  <c r="GB6"/>
  <c r="GB7"/>
  <c r="GB8"/>
  <c r="GB9"/>
  <c r="GB10"/>
  <c r="GB11"/>
  <c r="GB12"/>
  <c r="GB13"/>
  <c r="GB14"/>
  <c r="GB15"/>
  <c r="GB16"/>
  <c r="GB17"/>
  <c r="GB18"/>
  <c r="GB20"/>
  <c r="GB21"/>
  <c r="GB22"/>
  <c r="GB23"/>
  <c r="GB24"/>
  <c r="GB25"/>
  <c r="GB26"/>
  <c r="GB27"/>
  <c r="GJ5"/>
  <c r="GJ6"/>
  <c r="GJ7"/>
  <c r="GJ8"/>
  <c r="GJ9"/>
  <c r="GJ10"/>
  <c r="GJ11"/>
  <c r="GJ12"/>
  <c r="GJ13"/>
  <c r="GJ14"/>
  <c r="GJ15"/>
  <c r="GJ16"/>
  <c r="GJ17"/>
  <c r="GJ18"/>
  <c r="GJ19"/>
  <c r="GJ20"/>
  <c r="GJ21"/>
  <c r="GJ22"/>
  <c r="GJ23"/>
  <c r="GJ24"/>
  <c r="GJ25"/>
  <c r="GJ26"/>
  <c r="GJ27"/>
  <c r="GJ29"/>
  <c r="GI5"/>
  <c r="GI6"/>
  <c r="GI7"/>
  <c r="GI8"/>
  <c r="GI9"/>
  <c r="GI10"/>
  <c r="GI11"/>
  <c r="GI12"/>
  <c r="GI13"/>
  <c r="GI14"/>
  <c r="GI15"/>
  <c r="GI16"/>
  <c r="GI17"/>
  <c r="GI18"/>
  <c r="GI19"/>
  <c r="GI20"/>
  <c r="GI21"/>
  <c r="GI22"/>
  <c r="GI23"/>
  <c r="GI24"/>
  <c r="GI25"/>
  <c r="GI26"/>
  <c r="GI27"/>
  <c r="GI29"/>
  <c r="GH5"/>
  <c r="GH6"/>
  <c r="GH7"/>
  <c r="GH8"/>
  <c r="GH9"/>
  <c r="GH10"/>
  <c r="GH11"/>
  <c r="GH12"/>
  <c r="GH13"/>
  <c r="GH14"/>
  <c r="GH15"/>
  <c r="GH16"/>
  <c r="GH17"/>
  <c r="GH18"/>
  <c r="GH19"/>
  <c r="GH20"/>
  <c r="GH21"/>
  <c r="GH22"/>
  <c r="GH23"/>
  <c r="GH24"/>
  <c r="GH25"/>
  <c r="GH26"/>
  <c r="GH27"/>
  <c r="GH29"/>
  <c r="GG5"/>
  <c r="GG6"/>
  <c r="GG7"/>
  <c r="GG8"/>
  <c r="GG9"/>
  <c r="GG10"/>
  <c r="GG11"/>
  <c r="GG12"/>
  <c r="GG13"/>
  <c r="GG14"/>
  <c r="GG15"/>
  <c r="GG16"/>
  <c r="GG17"/>
  <c r="GG18"/>
  <c r="GG19"/>
  <c r="GG20"/>
  <c r="GG21"/>
  <c r="GG22"/>
  <c r="GG23"/>
  <c r="GG24"/>
  <c r="GG25"/>
  <c r="GG26"/>
  <c r="GG27"/>
  <c r="GG29"/>
  <c r="GF5"/>
  <c r="GF6"/>
  <c r="GF7"/>
  <c r="GF8"/>
  <c r="GF9"/>
  <c r="GF10"/>
  <c r="GF11"/>
  <c r="GF12"/>
  <c r="GF13"/>
  <c r="GF14"/>
  <c r="GF15"/>
  <c r="GF16"/>
  <c r="GF17"/>
  <c r="GF18"/>
  <c r="GF19"/>
  <c r="GF20"/>
  <c r="GF21"/>
  <c r="GF22"/>
  <c r="GF23"/>
  <c r="GF24"/>
  <c r="GF25"/>
  <c r="GF26"/>
  <c r="GF27"/>
  <c r="GF29"/>
  <c r="GE5"/>
  <c r="GE6"/>
  <c r="GE7"/>
  <c r="GE8"/>
  <c r="GE9"/>
  <c r="GE10"/>
  <c r="GE11"/>
  <c r="GE12"/>
  <c r="GE13"/>
  <c r="GE14"/>
  <c r="GE15"/>
  <c r="GE16"/>
  <c r="GE17"/>
  <c r="GE18"/>
  <c r="GE19"/>
  <c r="GE20"/>
  <c r="GE21"/>
  <c r="GE22"/>
  <c r="GE23"/>
  <c r="GE24"/>
  <c r="GE25"/>
  <c r="GE26"/>
  <c r="GE27"/>
  <c r="GE29"/>
  <c r="GD5"/>
  <c r="GD6"/>
  <c r="GD7"/>
  <c r="GD8"/>
  <c r="GD9"/>
  <c r="GD10"/>
  <c r="GD11"/>
  <c r="GD12"/>
  <c r="GD13"/>
  <c r="GD14"/>
  <c r="GD15"/>
  <c r="GD16"/>
  <c r="GD17"/>
  <c r="GD18"/>
  <c r="GD19"/>
  <c r="GD20"/>
  <c r="GD21"/>
  <c r="GD22"/>
  <c r="GD23"/>
  <c r="GD24"/>
  <c r="GD25"/>
  <c r="GD26"/>
  <c r="GD27"/>
  <c r="GD29"/>
  <c r="GC5"/>
  <c r="GC6"/>
  <c r="GC7"/>
  <c r="GC8"/>
  <c r="GC9"/>
  <c r="GC10"/>
  <c r="GC11"/>
  <c r="GC12"/>
  <c r="GC13"/>
  <c r="GC14"/>
  <c r="GC15"/>
  <c r="GC16"/>
  <c r="GC17"/>
  <c r="GC18"/>
  <c r="GC19"/>
  <c r="GC20"/>
  <c r="GC21"/>
  <c r="GC22"/>
  <c r="GC23"/>
  <c r="GC24"/>
  <c r="GC25"/>
  <c r="GC26"/>
  <c r="GC27"/>
  <c r="GC29"/>
  <c r="G251" i="26"/>
  <c r="G250"/>
  <c r="G249"/>
  <c r="G248"/>
  <c r="G247"/>
  <c r="G246"/>
  <c r="DA27" i="25"/>
  <c r="DA26"/>
  <c r="DA25"/>
  <c r="DA24"/>
  <c r="DA23"/>
  <c r="DA21"/>
  <c r="DA20"/>
  <c r="DA19"/>
  <c r="DA18"/>
  <c r="DA17"/>
  <c r="DA16"/>
  <c r="DA15"/>
  <c r="DA14"/>
  <c r="DA13"/>
  <c r="DA12"/>
  <c r="DA11"/>
  <c r="DA10"/>
  <c r="DA9"/>
  <c r="DA8"/>
  <c r="DA7"/>
  <c r="DA6"/>
  <c r="DA29" s="1"/>
  <c r="DA5"/>
  <c r="CZ27"/>
  <c r="CZ26"/>
  <c r="CZ25"/>
  <c r="CZ24"/>
  <c r="CZ23"/>
  <c r="CZ20"/>
  <c r="CZ19"/>
  <c r="CZ18"/>
  <c r="CZ17"/>
  <c r="CZ16"/>
  <c r="CZ15"/>
  <c r="CZ14"/>
  <c r="CZ13"/>
  <c r="CZ12"/>
  <c r="CZ11"/>
  <c r="CZ10"/>
  <c r="CZ9"/>
  <c r="CZ8"/>
  <c r="CZ7"/>
  <c r="CZ6"/>
  <c r="CZ5"/>
  <c r="CY27"/>
  <c r="CY26"/>
  <c r="CY25"/>
  <c r="CY24"/>
  <c r="CY23"/>
  <c r="CY21"/>
  <c r="CY20"/>
  <c r="CY19"/>
  <c r="CY18"/>
  <c r="CY17"/>
  <c r="CY16"/>
  <c r="CY15"/>
  <c r="CY14"/>
  <c r="CY13"/>
  <c r="CY12"/>
  <c r="CY11"/>
  <c r="CY10"/>
  <c r="CY9"/>
  <c r="CY8"/>
  <c r="CY7"/>
  <c r="CY6"/>
  <c r="CY5"/>
  <c r="CX27"/>
  <c r="CX26"/>
  <c r="CX25"/>
  <c r="CX24"/>
  <c r="CX23"/>
  <c r="CX21"/>
  <c r="CX20"/>
  <c r="CX19"/>
  <c r="CX18"/>
  <c r="CX17"/>
  <c r="CX16"/>
  <c r="CX15"/>
  <c r="CX14"/>
  <c r="CX13"/>
  <c r="CX12"/>
  <c r="CX11"/>
  <c r="CX10"/>
  <c r="CX9"/>
  <c r="CX8"/>
  <c r="CX7"/>
  <c r="CX6"/>
  <c r="CX5"/>
  <c r="CX29" s="1"/>
  <c r="CW27"/>
  <c r="CW26"/>
  <c r="CW25"/>
  <c r="CW24"/>
  <c r="CW23"/>
  <c r="CW29"/>
  <c r="CW21"/>
  <c r="CW20"/>
  <c r="CW19"/>
  <c r="CW18"/>
  <c r="CW17"/>
  <c r="CW16"/>
  <c r="CW15"/>
  <c r="CW14"/>
  <c r="CW13"/>
  <c r="CW12"/>
  <c r="CW11"/>
  <c r="CW10"/>
  <c r="CW9"/>
  <c r="CW8"/>
  <c r="CW7"/>
  <c r="CW6"/>
  <c r="CW5"/>
  <c r="CV27"/>
  <c r="CV26"/>
  <c r="CV25"/>
  <c r="CV24"/>
  <c r="CV23"/>
  <c r="CV21"/>
  <c r="CV20"/>
  <c r="CV19"/>
  <c r="CV18"/>
  <c r="CV17"/>
  <c r="CV16"/>
  <c r="CV15"/>
  <c r="CV14"/>
  <c r="CV13"/>
  <c r="CV12"/>
  <c r="CV11"/>
  <c r="CV10"/>
  <c r="CV9"/>
  <c r="CV8"/>
  <c r="CV7"/>
  <c r="CV6"/>
  <c r="CV5"/>
  <c r="CV29" s="1"/>
  <c r="CU26"/>
  <c r="CU25"/>
  <c r="CU24"/>
  <c r="CU23"/>
  <c r="CU21"/>
  <c r="CU20"/>
  <c r="CU19"/>
  <c r="CU18"/>
  <c r="CU17"/>
  <c r="CU16"/>
  <c r="CU15"/>
  <c r="CU14"/>
  <c r="CU13"/>
  <c r="CU12"/>
  <c r="CU11"/>
  <c r="CU10"/>
  <c r="CU9"/>
  <c r="CU8"/>
  <c r="CU7"/>
  <c r="CU6"/>
  <c r="CU5"/>
  <c r="CT9"/>
  <c r="CT5"/>
  <c r="CR5" s="1"/>
  <c r="CT6"/>
  <c r="CT7"/>
  <c r="CR7" s="1"/>
  <c r="CT8"/>
  <c r="CT10"/>
  <c r="CT11"/>
  <c r="CT12"/>
  <c r="CT13"/>
  <c r="CT14"/>
  <c r="CT15"/>
  <c r="CT16"/>
  <c r="CT17"/>
  <c r="CT18"/>
  <c r="CT19"/>
  <c r="CT20"/>
  <c r="CT21"/>
  <c r="CT23"/>
  <c r="CT24"/>
  <c r="CT25"/>
  <c r="CT26"/>
  <c r="CT27"/>
  <c r="CT29"/>
  <c r="CS5"/>
  <c r="CS6"/>
  <c r="CS7"/>
  <c r="CS8"/>
  <c r="CR8" s="1"/>
  <c r="CN8" s="1"/>
  <c r="CS9"/>
  <c r="CS10"/>
  <c r="CR10" s="1"/>
  <c r="CN10" s="1"/>
  <c r="CS11"/>
  <c r="CS12"/>
  <c r="CR12" s="1"/>
  <c r="CN12" s="1"/>
  <c r="CS13"/>
  <c r="CS14"/>
  <c r="CR14" s="1"/>
  <c r="CN14" s="1"/>
  <c r="CS15"/>
  <c r="CS16"/>
  <c r="CR16" s="1"/>
  <c r="CN16" s="1"/>
  <c r="CS17"/>
  <c r="CS18"/>
  <c r="CR18" s="1"/>
  <c r="CN18" s="1"/>
  <c r="CS19"/>
  <c r="CS20"/>
  <c r="CR20" s="1"/>
  <c r="CN20" s="1"/>
  <c r="CS21"/>
  <c r="CR22"/>
  <c r="CN22" s="1"/>
  <c r="CS23"/>
  <c r="CS24"/>
  <c r="CR24" s="1"/>
  <c r="CN24" s="1"/>
  <c r="CS25"/>
  <c r="CS26"/>
  <c r="CR26" s="1"/>
  <c r="CN26" s="1"/>
  <c r="CS27"/>
  <c r="CS29"/>
  <c r="CR29" s="1"/>
  <c r="CR28"/>
  <c r="CR27"/>
  <c r="CR25"/>
  <c r="CR23"/>
  <c r="CR21"/>
  <c r="CR19"/>
  <c r="CR17"/>
  <c r="CR15"/>
  <c r="CR13"/>
  <c r="CR11"/>
  <c r="CR9"/>
  <c r="CR6"/>
  <c r="CQ26"/>
  <c r="CQ25"/>
  <c r="CQ24"/>
  <c r="CQ23"/>
  <c r="CQ21"/>
  <c r="CQ20"/>
  <c r="CQ19"/>
  <c r="CQ18"/>
  <c r="CQ17"/>
  <c r="CQ16"/>
  <c r="CQ15"/>
  <c r="CQ14"/>
  <c r="CQ13"/>
  <c r="CQ12"/>
  <c r="CQ11"/>
  <c r="CQ10"/>
  <c r="CQ9"/>
  <c r="CQ8"/>
  <c r="CQ7"/>
  <c r="CQ6"/>
  <c r="CQ5"/>
  <c r="CQ29" s="1"/>
  <c r="CP26"/>
  <c r="CP25"/>
  <c r="CP24"/>
  <c r="CP23"/>
  <c r="CP21"/>
  <c r="CP20"/>
  <c r="CP19"/>
  <c r="CP18"/>
  <c r="CP17"/>
  <c r="CP16"/>
  <c r="CP15"/>
  <c r="CP14"/>
  <c r="CP13"/>
  <c r="CP12"/>
  <c r="CP11"/>
  <c r="CP10"/>
  <c r="CP9"/>
  <c r="CP8"/>
  <c r="CP7"/>
  <c r="CP6"/>
  <c r="CP5"/>
  <c r="CO26"/>
  <c r="CO25"/>
  <c r="CO24"/>
  <c r="CO23"/>
  <c r="CO21"/>
  <c r="CO20"/>
  <c r="CO19"/>
  <c r="CO18"/>
  <c r="CO17"/>
  <c r="CO16"/>
  <c r="CO15"/>
  <c r="CO14"/>
  <c r="CO13"/>
  <c r="CO12"/>
  <c r="CO11"/>
  <c r="CO10"/>
  <c r="CO9"/>
  <c r="CO8"/>
  <c r="CO7"/>
  <c r="CO6"/>
  <c r="CO5"/>
  <c r="CO29" s="1"/>
  <c r="CM27"/>
  <c r="CM26"/>
  <c r="CK26" s="1"/>
  <c r="CM25"/>
  <c r="CM24"/>
  <c r="CM23"/>
  <c r="CK22"/>
  <c r="CM21"/>
  <c r="CM20"/>
  <c r="CM19"/>
  <c r="CM18"/>
  <c r="CM17"/>
  <c r="CM16"/>
  <c r="CK16" s="1"/>
  <c r="CM15"/>
  <c r="CM14"/>
  <c r="CM13"/>
  <c r="CM12"/>
  <c r="CM11"/>
  <c r="CM10"/>
  <c r="CM9"/>
  <c r="CM8"/>
  <c r="CM7"/>
  <c r="CM6"/>
  <c r="CM5"/>
  <c r="CL27"/>
  <c r="CL26"/>
  <c r="CL25"/>
  <c r="CK25" s="1"/>
  <c r="CL24"/>
  <c r="CL23"/>
  <c r="CK23" s="1"/>
  <c r="CL21"/>
  <c r="CK21" s="1"/>
  <c r="CL20"/>
  <c r="CL19"/>
  <c r="CK19" s="1"/>
  <c r="CL18"/>
  <c r="CL17"/>
  <c r="CK17" s="1"/>
  <c r="CL16"/>
  <c r="CL15"/>
  <c r="CL14"/>
  <c r="CL13"/>
  <c r="CK13" s="1"/>
  <c r="CL12"/>
  <c r="CL11"/>
  <c r="CK11" s="1"/>
  <c r="CL10"/>
  <c r="CL9"/>
  <c r="CK9" s="1"/>
  <c r="CL8"/>
  <c r="CL7"/>
  <c r="CK7" s="1"/>
  <c r="CL6"/>
  <c r="CL5"/>
  <c r="CK5" s="1"/>
  <c r="CJ27"/>
  <c r="CJ26"/>
  <c r="CJ25"/>
  <c r="CJ24"/>
  <c r="CJ23"/>
  <c r="CJ29"/>
  <c r="CJ20"/>
  <c r="CJ19"/>
  <c r="CJ18"/>
  <c r="CJ17"/>
  <c r="CJ16"/>
  <c r="CJ15"/>
  <c r="CJ14"/>
  <c r="CJ13"/>
  <c r="CJ12"/>
  <c r="CJ11"/>
  <c r="CJ10"/>
  <c r="CJ9"/>
  <c r="CJ8"/>
  <c r="CJ7"/>
  <c r="CJ6"/>
  <c r="CJ5"/>
  <c r="CU27"/>
  <c r="CQ27"/>
  <c r="CP27"/>
  <c r="CO27"/>
  <c r="CI27"/>
  <c r="CI26"/>
  <c r="CI25"/>
  <c r="CI24"/>
  <c r="CI23"/>
  <c r="CI20"/>
  <c r="CI19"/>
  <c r="CI18"/>
  <c r="CI17"/>
  <c r="CI16"/>
  <c r="CI15"/>
  <c r="CI14"/>
  <c r="CI13"/>
  <c r="CI12"/>
  <c r="CI11"/>
  <c r="CI10"/>
  <c r="CI9"/>
  <c r="CI8"/>
  <c r="CI7"/>
  <c r="CI6"/>
  <c r="CI5"/>
  <c r="CH27"/>
  <c r="CH26"/>
  <c r="CH25"/>
  <c r="CH24"/>
  <c r="CG24" s="1"/>
  <c r="CH23"/>
  <c r="CG22"/>
  <c r="CH21"/>
  <c r="CH20"/>
  <c r="CG20" s="1"/>
  <c r="CH19"/>
  <c r="CH18"/>
  <c r="CH17"/>
  <c r="CH16"/>
  <c r="CG16" s="1"/>
  <c r="CH15"/>
  <c r="CH14"/>
  <c r="CH13"/>
  <c r="CH12"/>
  <c r="CG12" s="1"/>
  <c r="CH11"/>
  <c r="CH10"/>
  <c r="CH9"/>
  <c r="CH8"/>
  <c r="CG8" s="1"/>
  <c r="CH7"/>
  <c r="CH6"/>
  <c r="CH5"/>
  <c r="CF27"/>
  <c r="CF26"/>
  <c r="CF25"/>
  <c r="CF24"/>
  <c r="CF23"/>
  <c r="CF21"/>
  <c r="CF20"/>
  <c r="CF19"/>
  <c r="CF18"/>
  <c r="CF17"/>
  <c r="CF16"/>
  <c r="CF15"/>
  <c r="CF14"/>
  <c r="CF13"/>
  <c r="CF12"/>
  <c r="CF11"/>
  <c r="CF10"/>
  <c r="CF9"/>
  <c r="CF8"/>
  <c r="CF7"/>
  <c r="CF6"/>
  <c r="CF5"/>
  <c r="CE27"/>
  <c r="CE26"/>
  <c r="CE25"/>
  <c r="CE24"/>
  <c r="CD24" s="1"/>
  <c r="CC24" s="1"/>
  <c r="CE23"/>
  <c r="CE29"/>
  <c r="CE21"/>
  <c r="CE20"/>
  <c r="CD20" s="1"/>
  <c r="CC20" s="1"/>
  <c r="CE19"/>
  <c r="CE18"/>
  <c r="CE17"/>
  <c r="CE16"/>
  <c r="CD16" s="1"/>
  <c r="CC16" s="1"/>
  <c r="CE15"/>
  <c r="CE14"/>
  <c r="CE13"/>
  <c r="CE12"/>
  <c r="CD12" s="1"/>
  <c r="CC12" s="1"/>
  <c r="CE11"/>
  <c r="CE10"/>
  <c r="CE9"/>
  <c r="CE8"/>
  <c r="CD8" s="1"/>
  <c r="CC8" s="1"/>
  <c r="CE7"/>
  <c r="CE6"/>
  <c r="CE5"/>
  <c r="CB27"/>
  <c r="CB26"/>
  <c r="CB25"/>
  <c r="BZ25" s="1"/>
  <c r="CB24"/>
  <c r="CB23"/>
  <c r="BZ21"/>
  <c r="CB20"/>
  <c r="CB19"/>
  <c r="CB18"/>
  <c r="CB17"/>
  <c r="BZ17" s="1"/>
  <c r="CB16"/>
  <c r="CB15"/>
  <c r="CB14"/>
  <c r="CB13"/>
  <c r="BZ13" s="1"/>
  <c r="CB12"/>
  <c r="CB11"/>
  <c r="CB10"/>
  <c r="CB9"/>
  <c r="BZ9" s="1"/>
  <c r="CB8"/>
  <c r="CB7"/>
  <c r="CB6"/>
  <c r="CB5"/>
  <c r="BZ5" s="1"/>
  <c r="CA27"/>
  <c r="CA26"/>
  <c r="CA25"/>
  <c r="CA24"/>
  <c r="CA23"/>
  <c r="BZ22"/>
  <c r="CA20"/>
  <c r="CA19"/>
  <c r="CA18"/>
  <c r="CA17"/>
  <c r="CA16"/>
  <c r="CA15"/>
  <c r="CA14"/>
  <c r="CA13"/>
  <c r="CA12"/>
  <c r="CA11"/>
  <c r="CA10"/>
  <c r="CA9"/>
  <c r="CA8"/>
  <c r="CA7"/>
  <c r="CA6"/>
  <c r="CA5"/>
  <c r="BY27"/>
  <c r="BY26"/>
  <c r="BY25"/>
  <c r="BY24"/>
  <c r="BY23"/>
  <c r="BY20"/>
  <c r="BY19"/>
  <c r="BY18"/>
  <c r="BY17"/>
  <c r="BY16"/>
  <c r="BY15"/>
  <c r="BY14"/>
  <c r="BY13"/>
  <c r="BY12"/>
  <c r="BY11"/>
  <c r="BY10"/>
  <c r="BY9"/>
  <c r="BY8"/>
  <c r="BY7"/>
  <c r="BY6"/>
  <c r="BY5"/>
  <c r="BX27"/>
  <c r="BX26"/>
  <c r="BX25"/>
  <c r="BX24"/>
  <c r="BX23"/>
  <c r="BX29"/>
  <c r="BX20"/>
  <c r="BX19"/>
  <c r="BX18"/>
  <c r="BX17"/>
  <c r="BX16"/>
  <c r="BX15"/>
  <c r="BX14"/>
  <c r="BX13"/>
  <c r="BX12"/>
  <c r="BX11"/>
  <c r="BX10"/>
  <c r="BX9"/>
  <c r="BX8"/>
  <c r="BX7"/>
  <c r="BX6"/>
  <c r="BX5"/>
  <c r="BW27"/>
  <c r="BW26"/>
  <c r="BW25"/>
  <c r="BW24"/>
  <c r="BW23"/>
  <c r="BW21"/>
  <c r="BW20"/>
  <c r="BW19"/>
  <c r="BW18"/>
  <c r="BW17"/>
  <c r="BW16"/>
  <c r="BW15"/>
  <c r="BW14"/>
  <c r="BW13"/>
  <c r="BW12"/>
  <c r="BW11"/>
  <c r="BW10"/>
  <c r="BW9"/>
  <c r="BW8"/>
  <c r="BW7"/>
  <c r="BW6"/>
  <c r="BW5"/>
  <c r="BV27"/>
  <c r="BV26"/>
  <c r="BV25"/>
  <c r="BV24"/>
  <c r="BV23"/>
  <c r="BV29"/>
  <c r="BV20"/>
  <c r="BV19"/>
  <c r="BV18"/>
  <c r="BV17"/>
  <c r="BV16"/>
  <c r="BV15"/>
  <c r="BV14"/>
  <c r="BV13"/>
  <c r="BV12"/>
  <c r="BV11"/>
  <c r="BV10"/>
  <c r="BV9"/>
  <c r="BV8"/>
  <c r="BV7"/>
  <c r="BV6"/>
  <c r="BV5"/>
  <c r="BT27"/>
  <c r="BT26"/>
  <c r="BT25"/>
  <c r="BT24"/>
  <c r="BT23"/>
  <c r="BT22"/>
  <c r="BT21"/>
  <c r="BT20"/>
  <c r="BT19"/>
  <c r="BT18"/>
  <c r="BT17"/>
  <c r="BT16"/>
  <c r="BT15"/>
  <c r="BT14"/>
  <c r="BT13"/>
  <c r="BT12"/>
  <c r="BT11"/>
  <c r="BT10"/>
  <c r="BT9"/>
  <c r="BT8"/>
  <c r="BT7"/>
  <c r="BT6"/>
  <c r="BT5"/>
  <c r="BS27"/>
  <c r="BS26"/>
  <c r="BS25"/>
  <c r="BS24"/>
  <c r="BS23"/>
  <c r="BS22"/>
  <c r="BS29" s="1"/>
  <c r="BS21"/>
  <c r="BS20"/>
  <c r="BS19"/>
  <c r="BS18"/>
  <c r="BS17"/>
  <c r="BS16"/>
  <c r="BS15"/>
  <c r="BS14"/>
  <c r="BS13"/>
  <c r="BS12"/>
  <c r="BS11"/>
  <c r="BS10"/>
  <c r="BS9"/>
  <c r="BS8"/>
  <c r="BS7"/>
  <c r="BS6"/>
  <c r="BS5"/>
  <c r="FY27"/>
  <c r="FY26"/>
  <c r="FY25"/>
  <c r="FY24"/>
  <c r="FY23"/>
  <c r="FY22"/>
  <c r="FY21"/>
  <c r="FY20"/>
  <c r="FY19"/>
  <c r="FY18"/>
  <c r="FY17"/>
  <c r="FY16"/>
  <c r="FY15"/>
  <c r="FY14"/>
  <c r="FY13"/>
  <c r="FY12"/>
  <c r="FY11"/>
  <c r="FY10"/>
  <c r="FY9"/>
  <c r="FY8"/>
  <c r="FY7"/>
  <c r="FY6"/>
  <c r="FY5"/>
  <c r="FX17"/>
  <c r="FX27"/>
  <c r="FX26"/>
  <c r="FX25"/>
  <c r="FX24"/>
  <c r="FX23"/>
  <c r="FX22"/>
  <c r="FX21"/>
  <c r="FX20"/>
  <c r="FX19"/>
  <c r="FX18"/>
  <c r="FV17"/>
  <c r="FX16"/>
  <c r="FX15"/>
  <c r="FX14"/>
  <c r="FX13"/>
  <c r="FX12"/>
  <c r="FX11"/>
  <c r="FX10"/>
  <c r="FX9"/>
  <c r="FX8"/>
  <c r="FX7"/>
  <c r="FX6"/>
  <c r="FX5"/>
  <c r="FX29" s="1"/>
  <c r="FW27"/>
  <c r="FW26"/>
  <c r="FW25"/>
  <c r="FW24"/>
  <c r="FW23"/>
  <c r="FW22"/>
  <c r="FW21"/>
  <c r="FW20"/>
  <c r="FW19"/>
  <c r="FW18"/>
  <c r="FW17"/>
  <c r="FW16"/>
  <c r="FW15"/>
  <c r="FW14"/>
  <c r="FW13"/>
  <c r="FW12"/>
  <c r="FW11"/>
  <c r="FW10"/>
  <c r="FW9"/>
  <c r="FW8"/>
  <c r="FW7"/>
  <c r="FW6"/>
  <c r="FW5"/>
  <c r="FV27"/>
  <c r="FV26"/>
  <c r="FV25"/>
  <c r="FV24"/>
  <c r="FV23"/>
  <c r="FV22"/>
  <c r="FV21"/>
  <c r="FV20"/>
  <c r="FV19"/>
  <c r="FV18"/>
  <c r="FV16"/>
  <c r="FV15"/>
  <c r="FV14"/>
  <c r="FV13"/>
  <c r="FV12"/>
  <c r="FV11"/>
  <c r="FV10"/>
  <c r="FV9"/>
  <c r="FV8"/>
  <c r="FT26"/>
  <c r="FT24"/>
  <c r="FT22"/>
  <c r="FT20"/>
  <c r="FT18"/>
  <c r="FT16"/>
  <c r="FT14"/>
  <c r="FT12"/>
  <c r="FT10"/>
  <c r="FT8"/>
  <c r="FT6"/>
  <c r="FV7"/>
  <c r="FV6"/>
  <c r="FV5"/>
  <c r="FV29" s="1"/>
  <c r="FU27"/>
  <c r="FU26"/>
  <c r="FU25"/>
  <c r="FU24"/>
  <c r="FU23"/>
  <c r="FU22"/>
  <c r="FU21"/>
  <c r="FU20"/>
  <c r="FU19"/>
  <c r="FU18"/>
  <c r="FU17"/>
  <c r="FU16"/>
  <c r="FU15"/>
  <c r="FU14"/>
  <c r="FU13"/>
  <c r="FU12"/>
  <c r="FU11"/>
  <c r="FU10"/>
  <c r="FU9"/>
  <c r="FU8"/>
  <c r="FU7"/>
  <c r="FU6"/>
  <c r="FU29" s="1"/>
  <c r="FU5"/>
  <c r="FT27"/>
  <c r="FT25"/>
  <c r="FT23"/>
  <c r="FT21"/>
  <c r="FT19"/>
  <c r="FT17"/>
  <c r="FT15"/>
  <c r="FT13"/>
  <c r="FT11"/>
  <c r="FT9"/>
  <c r="FT7"/>
  <c r="FT5"/>
  <c r="FS27"/>
  <c r="FS26"/>
  <c r="FS25"/>
  <c r="FS24"/>
  <c r="FS23"/>
  <c r="FS22"/>
  <c r="FS21"/>
  <c r="FS20"/>
  <c r="FS19"/>
  <c r="FS18"/>
  <c r="FS17"/>
  <c r="FS16"/>
  <c r="FS15"/>
  <c r="FS14"/>
  <c r="FS13"/>
  <c r="FS12"/>
  <c r="FS11"/>
  <c r="FS10"/>
  <c r="FS9"/>
  <c r="FS8"/>
  <c r="FS7"/>
  <c r="FS6"/>
  <c r="FS5"/>
  <c r="FS29" s="1"/>
  <c r="FR27"/>
  <c r="FR26"/>
  <c r="FR25"/>
  <c r="FR24"/>
  <c r="FR23"/>
  <c r="FR22"/>
  <c r="FR21"/>
  <c r="FR20"/>
  <c r="FR19"/>
  <c r="FR18"/>
  <c r="FR17"/>
  <c r="FR16"/>
  <c r="FR15"/>
  <c r="FR14"/>
  <c r="FR13"/>
  <c r="FR12"/>
  <c r="FR11"/>
  <c r="FR10"/>
  <c r="FR9"/>
  <c r="FR8"/>
  <c r="FR7"/>
  <c r="FR6"/>
  <c r="FR5"/>
  <c r="FQ27"/>
  <c r="FQ26"/>
  <c r="FQ25"/>
  <c r="FQ24"/>
  <c r="FQ23"/>
  <c r="FQ22"/>
  <c r="FQ21"/>
  <c r="FQ20"/>
  <c r="FQ19"/>
  <c r="FQ18"/>
  <c r="FQ17"/>
  <c r="FQ16"/>
  <c r="FQ15"/>
  <c r="FQ14"/>
  <c r="FQ13"/>
  <c r="FQ12"/>
  <c r="FQ11"/>
  <c r="FQ10"/>
  <c r="FQ9"/>
  <c r="FQ8"/>
  <c r="FQ7"/>
  <c r="FQ6"/>
  <c r="FQ5"/>
  <c r="FQ29" s="1"/>
  <c r="FP27"/>
  <c r="FP26"/>
  <c r="FP25"/>
  <c r="FP24"/>
  <c r="FP23"/>
  <c r="FP22"/>
  <c r="FP29" s="1"/>
  <c r="FP21"/>
  <c r="FP20"/>
  <c r="FP19"/>
  <c r="FP18"/>
  <c r="FP17"/>
  <c r="FP16"/>
  <c r="FP15"/>
  <c r="FP14"/>
  <c r="FP13"/>
  <c r="FP12"/>
  <c r="FP11"/>
  <c r="FP10"/>
  <c r="FP9"/>
  <c r="FP8"/>
  <c r="FP7"/>
  <c r="FP6"/>
  <c r="FP5"/>
  <c r="FO27"/>
  <c r="FO26"/>
  <c r="FO25"/>
  <c r="FO24"/>
  <c r="FO23"/>
  <c r="FO22"/>
  <c r="FO21"/>
  <c r="FO20"/>
  <c r="FO19"/>
  <c r="FO18"/>
  <c r="FO17"/>
  <c r="FO16"/>
  <c r="FO15"/>
  <c r="FO14"/>
  <c r="FO13"/>
  <c r="FO12"/>
  <c r="FO11"/>
  <c r="FO10"/>
  <c r="FO9"/>
  <c r="FO8"/>
  <c r="FO7"/>
  <c r="FO6"/>
  <c r="FO5"/>
  <c r="FO29" s="1"/>
  <c r="FN27"/>
  <c r="FN26"/>
  <c r="FN25"/>
  <c r="FN24"/>
  <c r="FN23"/>
  <c r="FN22"/>
  <c r="FN29" s="1"/>
  <c r="FN21"/>
  <c r="FN20"/>
  <c r="FN19"/>
  <c r="FN18"/>
  <c r="FN17"/>
  <c r="FN16"/>
  <c r="FN15"/>
  <c r="FN14"/>
  <c r="FN13"/>
  <c r="FN12"/>
  <c r="FN11"/>
  <c r="FN10"/>
  <c r="FN9"/>
  <c r="FN8"/>
  <c r="FN7"/>
  <c r="FN6"/>
  <c r="FN5"/>
  <c r="FM27"/>
  <c r="FM26"/>
  <c r="FM25"/>
  <c r="FM24"/>
  <c r="FM23"/>
  <c r="FM22"/>
  <c r="FM21"/>
  <c r="FM20"/>
  <c r="FM19"/>
  <c r="FM18"/>
  <c r="FM17"/>
  <c r="FM16"/>
  <c r="FM15"/>
  <c r="FM14"/>
  <c r="FM13"/>
  <c r="FM12"/>
  <c r="FM11"/>
  <c r="FM10"/>
  <c r="FM9"/>
  <c r="FM8"/>
  <c r="FM7"/>
  <c r="FM6"/>
  <c r="FM5"/>
  <c r="FM29" s="1"/>
  <c r="FL27"/>
  <c r="FL26"/>
  <c r="FL25"/>
  <c r="FL24"/>
  <c r="FL23"/>
  <c r="FL22"/>
  <c r="FL21"/>
  <c r="FL20"/>
  <c r="FL19"/>
  <c r="FL18"/>
  <c r="FL17"/>
  <c r="FL16"/>
  <c r="FL15"/>
  <c r="FL14"/>
  <c r="FL13"/>
  <c r="FL12"/>
  <c r="FL11"/>
  <c r="FL10"/>
  <c r="FL9"/>
  <c r="FL8"/>
  <c r="FL7"/>
  <c r="FL6"/>
  <c r="FL29" s="1"/>
  <c r="FL5"/>
  <c r="FK27"/>
  <c r="FK26"/>
  <c r="FK25"/>
  <c r="FK24"/>
  <c r="FK23"/>
  <c r="FK22"/>
  <c r="FK21"/>
  <c r="FK20"/>
  <c r="FK19"/>
  <c r="FK18"/>
  <c r="FK17"/>
  <c r="FK16"/>
  <c r="FK15"/>
  <c r="FK14"/>
  <c r="FK13"/>
  <c r="FK12"/>
  <c r="FK11"/>
  <c r="FK10"/>
  <c r="FK9"/>
  <c r="FK8"/>
  <c r="FK7"/>
  <c r="FK6"/>
  <c r="FK5"/>
  <c r="FK29" s="1"/>
  <c r="FJ27"/>
  <c r="FJ26"/>
  <c r="FJ25"/>
  <c r="FJ24"/>
  <c r="FJ23"/>
  <c r="FJ22"/>
  <c r="FJ29" s="1"/>
  <c r="FJ21"/>
  <c r="FJ20"/>
  <c r="FJ19"/>
  <c r="FJ18"/>
  <c r="FJ17"/>
  <c r="FJ16"/>
  <c r="FJ15"/>
  <c r="FJ14"/>
  <c r="FJ13"/>
  <c r="FJ12"/>
  <c r="FJ11"/>
  <c r="FJ10"/>
  <c r="FJ9"/>
  <c r="FJ8"/>
  <c r="FJ7"/>
  <c r="FJ6"/>
  <c r="FJ5"/>
  <c r="FI27"/>
  <c r="FI26"/>
  <c r="FI25"/>
  <c r="FI24"/>
  <c r="FI23"/>
  <c r="FI22"/>
  <c r="FI21"/>
  <c r="FI20"/>
  <c r="FI19"/>
  <c r="FI18"/>
  <c r="FI17"/>
  <c r="FI16"/>
  <c r="FI15"/>
  <c r="FI14"/>
  <c r="FI13"/>
  <c r="FI12"/>
  <c r="FI11"/>
  <c r="FI10"/>
  <c r="FI9"/>
  <c r="FI8"/>
  <c r="FI7"/>
  <c r="FI6"/>
  <c r="FI5"/>
  <c r="FI29" s="1"/>
  <c r="FH27"/>
  <c r="FH26"/>
  <c r="FH25"/>
  <c r="FH24"/>
  <c r="FH23"/>
  <c r="FH22"/>
  <c r="FH21"/>
  <c r="FH20"/>
  <c r="FH19"/>
  <c r="FH18"/>
  <c r="FH17"/>
  <c r="FH16"/>
  <c r="FH15"/>
  <c r="FH14"/>
  <c r="FH13"/>
  <c r="FH12"/>
  <c r="FH11"/>
  <c r="FH10"/>
  <c r="FH9"/>
  <c r="FH8"/>
  <c r="FH7"/>
  <c r="FH6"/>
  <c r="FH29" s="1"/>
  <c r="FH5"/>
  <c r="FG27"/>
  <c r="FG26"/>
  <c r="FG25"/>
  <c r="FG24"/>
  <c r="FG23"/>
  <c r="FG22"/>
  <c r="FG21"/>
  <c r="FG20"/>
  <c r="FG19"/>
  <c r="FG18"/>
  <c r="FG17"/>
  <c r="FG16"/>
  <c r="FG15"/>
  <c r="FG14"/>
  <c r="FG13"/>
  <c r="FG12"/>
  <c r="FG11"/>
  <c r="FG10"/>
  <c r="FG9"/>
  <c r="FG8"/>
  <c r="FG7"/>
  <c r="FG6"/>
  <c r="FG5"/>
  <c r="FG29" s="1"/>
  <c r="FF27"/>
  <c r="FF26"/>
  <c r="FF25"/>
  <c r="FF24"/>
  <c r="FF23"/>
  <c r="FF22"/>
  <c r="FF21"/>
  <c r="FF20"/>
  <c r="FF19"/>
  <c r="FF18"/>
  <c r="FF17"/>
  <c r="FF16"/>
  <c r="FF15"/>
  <c r="FF14"/>
  <c r="FF13"/>
  <c r="FF12"/>
  <c r="FF11"/>
  <c r="FF10"/>
  <c r="FF9"/>
  <c r="FF8"/>
  <c r="FF7"/>
  <c r="FF6"/>
  <c r="FF29" s="1"/>
  <c r="FF5"/>
  <c r="FE27"/>
  <c r="FC27" s="1"/>
  <c r="FE26"/>
  <c r="FE25"/>
  <c r="FC25" s="1"/>
  <c r="FE24"/>
  <c r="FE23"/>
  <c r="FC23" s="1"/>
  <c r="FE22"/>
  <c r="FE21"/>
  <c r="FC21" s="1"/>
  <c r="FE20"/>
  <c r="FE19"/>
  <c r="FC19" s="1"/>
  <c r="FE18"/>
  <c r="FE17"/>
  <c r="FC17" s="1"/>
  <c r="FE16"/>
  <c r="FE15"/>
  <c r="FC15" s="1"/>
  <c r="FE14"/>
  <c r="FE13"/>
  <c r="FC13" s="1"/>
  <c r="FE12"/>
  <c r="FE11"/>
  <c r="FC11" s="1"/>
  <c r="FE10"/>
  <c r="FE9"/>
  <c r="FC9" s="1"/>
  <c r="FE8"/>
  <c r="FE7"/>
  <c r="FC7" s="1"/>
  <c r="FE6"/>
  <c r="FE5"/>
  <c r="FD27"/>
  <c r="FD26"/>
  <c r="FC26" s="1"/>
  <c r="FD25"/>
  <c r="FD24"/>
  <c r="FD23"/>
  <c r="FD22"/>
  <c r="FC22" s="1"/>
  <c r="FD21"/>
  <c r="FD20"/>
  <c r="FC20" s="1"/>
  <c r="FD19"/>
  <c r="FD18"/>
  <c r="FC18" s="1"/>
  <c r="FD17"/>
  <c r="FD16"/>
  <c r="FD15"/>
  <c r="FD14"/>
  <c r="FC14" s="1"/>
  <c r="FD13"/>
  <c r="FD12"/>
  <c r="FC12" s="1"/>
  <c r="FD11"/>
  <c r="FD10"/>
  <c r="FC10" s="1"/>
  <c r="FD9"/>
  <c r="FD8"/>
  <c r="FD7"/>
  <c r="FD6"/>
  <c r="FC6" s="1"/>
  <c r="FD5"/>
  <c r="GD28"/>
  <c r="GA27"/>
  <c r="GA26"/>
  <c r="GA25"/>
  <c r="GA24"/>
  <c r="GA23"/>
  <c r="GA22"/>
  <c r="GA21"/>
  <c r="GA20"/>
  <c r="GA19"/>
  <c r="GA18"/>
  <c r="GA17"/>
  <c r="GA16"/>
  <c r="GA15"/>
  <c r="GA14"/>
  <c r="GA13"/>
  <c r="GA12"/>
  <c r="GA11"/>
  <c r="GA10"/>
  <c r="GA9"/>
  <c r="GA8"/>
  <c r="GA7"/>
  <c r="GA6"/>
  <c r="GA29" s="1"/>
  <c r="GA5"/>
  <c r="FD29"/>
  <c r="FR29"/>
  <c r="FC28"/>
  <c r="FC24"/>
  <c r="FC16"/>
  <c r="FC8"/>
  <c r="FY29"/>
  <c r="FW29"/>
  <c r="FB17"/>
  <c r="FA17"/>
  <c r="EZ17"/>
  <c r="EY17"/>
  <c r="EX17"/>
  <c r="FT29"/>
  <c r="FB22"/>
  <c r="FA22"/>
  <c r="EZ22"/>
  <c r="EY22"/>
  <c r="EX22"/>
  <c r="EW22"/>
  <c r="EV22"/>
  <c r="EU22"/>
  <c r="EU29" s="1"/>
  <c r="ES22"/>
  <c r="ER22"/>
  <c r="EP22" s="1"/>
  <c r="EQ22"/>
  <c r="EO22"/>
  <c r="EN22"/>
  <c r="EM22"/>
  <c r="EL22" s="1"/>
  <c r="EK22"/>
  <c r="EJ22"/>
  <c r="EH22" s="1"/>
  <c r="EI22"/>
  <c r="EG22"/>
  <c r="EE22" s="1"/>
  <c r="EF22"/>
  <c r="ED22"/>
  <c r="EC22"/>
  <c r="EB22"/>
  <c r="EA22" s="1"/>
  <c r="DZ22"/>
  <c r="DY22"/>
  <c r="DW22" s="1"/>
  <c r="DX22"/>
  <c r="DV22"/>
  <c r="DT22" s="1"/>
  <c r="DU22"/>
  <c r="DS22"/>
  <c r="DR22"/>
  <c r="DQ22"/>
  <c r="DP22" s="1"/>
  <c r="DO22"/>
  <c r="DN22"/>
  <c r="DL22" s="1"/>
  <c r="DM22"/>
  <c r="DK22"/>
  <c r="DG22"/>
  <c r="DF22"/>
  <c r="DD22"/>
  <c r="DD29" s="1"/>
  <c r="DC22"/>
  <c r="BU22"/>
  <c r="BP22"/>
  <c r="BP29" s="1"/>
  <c r="BN22"/>
  <c r="BM22"/>
  <c r="BL22"/>
  <c r="BK22"/>
  <c r="BJ22"/>
  <c r="BJ29" s="1"/>
  <c r="BI22"/>
  <c r="BH22"/>
  <c r="BF22"/>
  <c r="BE22"/>
  <c r="BE29" s="1"/>
  <c r="BD22"/>
  <c r="BC22"/>
  <c r="BB22"/>
  <c r="FB27"/>
  <c r="FB26"/>
  <c r="FB25"/>
  <c r="FB24"/>
  <c r="FB23"/>
  <c r="FB21"/>
  <c r="FB20"/>
  <c r="FB19"/>
  <c r="FB18"/>
  <c r="FB16"/>
  <c r="FB15"/>
  <c r="FB14"/>
  <c r="FB13"/>
  <c r="FB12"/>
  <c r="FB11"/>
  <c r="FB10"/>
  <c r="FB9"/>
  <c r="FB8"/>
  <c r="FB7"/>
  <c r="FB6"/>
  <c r="FB5"/>
  <c r="FA27"/>
  <c r="FA26"/>
  <c r="FA25"/>
  <c r="FA24"/>
  <c r="FA23"/>
  <c r="FA21"/>
  <c r="FA20"/>
  <c r="FA19"/>
  <c r="FA18"/>
  <c r="FA16"/>
  <c r="FA15"/>
  <c r="FA14"/>
  <c r="FA13"/>
  <c r="FA12"/>
  <c r="FA11"/>
  <c r="FA10"/>
  <c r="FA9"/>
  <c r="FA8"/>
  <c r="FA7"/>
  <c r="FA6"/>
  <c r="FA5"/>
  <c r="EZ27"/>
  <c r="EZ26"/>
  <c r="EZ25"/>
  <c r="EZ24"/>
  <c r="EZ23"/>
  <c r="EZ21"/>
  <c r="EZ20"/>
  <c r="EZ19"/>
  <c r="EZ18"/>
  <c r="EZ16"/>
  <c r="EZ15"/>
  <c r="EZ14"/>
  <c r="EZ13"/>
  <c r="EZ12"/>
  <c r="EZ11"/>
  <c r="EZ10"/>
  <c r="EZ9"/>
  <c r="EZ8"/>
  <c r="EZ7"/>
  <c r="EZ6"/>
  <c r="EZ5"/>
  <c r="EF5"/>
  <c r="EF6"/>
  <c r="EF7"/>
  <c r="EE7" s="1"/>
  <c r="EF8"/>
  <c r="EF9"/>
  <c r="EF10"/>
  <c r="EF11"/>
  <c r="EE11" s="1"/>
  <c r="EF12"/>
  <c r="EF13"/>
  <c r="EF14"/>
  <c r="EF15"/>
  <c r="EE15" s="1"/>
  <c r="EF16"/>
  <c r="EF17"/>
  <c r="EF18"/>
  <c r="EF19"/>
  <c r="EE19" s="1"/>
  <c r="EF20"/>
  <c r="EF21"/>
  <c r="EF23"/>
  <c r="EF24"/>
  <c r="EE24" s="1"/>
  <c r="EF25"/>
  <c r="EF26"/>
  <c r="EE26" s="1"/>
  <c r="EF27"/>
  <c r="EF29"/>
  <c r="EG5"/>
  <c r="EG6"/>
  <c r="EE6" s="1"/>
  <c r="EG7"/>
  <c r="EG8"/>
  <c r="EE8" s="1"/>
  <c r="EG9"/>
  <c r="EG10"/>
  <c r="EE10" s="1"/>
  <c r="EG11"/>
  <c r="EG12"/>
  <c r="EE12" s="1"/>
  <c r="EG13"/>
  <c r="EG14"/>
  <c r="EE14" s="1"/>
  <c r="EG15"/>
  <c r="EG16"/>
  <c r="EE16" s="1"/>
  <c r="EG17"/>
  <c r="EG18"/>
  <c r="EE18" s="1"/>
  <c r="EG19"/>
  <c r="EG20"/>
  <c r="EE20" s="1"/>
  <c r="EG21"/>
  <c r="EG23"/>
  <c r="EE23" s="1"/>
  <c r="EG24"/>
  <c r="EG25"/>
  <c r="EG26"/>
  <c r="EG27"/>
  <c r="EE28"/>
  <c r="EE27"/>
  <c r="EE21"/>
  <c r="EE17"/>
  <c r="EE13"/>
  <c r="EE9"/>
  <c r="EE5"/>
  <c r="DU5"/>
  <c r="DU6"/>
  <c r="DT6" s="1"/>
  <c r="DU7"/>
  <c r="DU8"/>
  <c r="DU9"/>
  <c r="DU10"/>
  <c r="DT10" s="1"/>
  <c r="DU11"/>
  <c r="DU12"/>
  <c r="DU13"/>
  <c r="DU14"/>
  <c r="DT14" s="1"/>
  <c r="DU15"/>
  <c r="DU16"/>
  <c r="DU17"/>
  <c r="DU18"/>
  <c r="DT18" s="1"/>
  <c r="DU19"/>
  <c r="DU20"/>
  <c r="DU21"/>
  <c r="DU23"/>
  <c r="DU24"/>
  <c r="DU25"/>
  <c r="DU26"/>
  <c r="DU27"/>
  <c r="DV5"/>
  <c r="DT5" s="1"/>
  <c r="DV6"/>
  <c r="DV7"/>
  <c r="DT7" s="1"/>
  <c r="DV8"/>
  <c r="DV9"/>
  <c r="DT9" s="1"/>
  <c r="DV10"/>
  <c r="DV11"/>
  <c r="DT11" s="1"/>
  <c r="DV12"/>
  <c r="DV13"/>
  <c r="DT13" s="1"/>
  <c r="DV14"/>
  <c r="DV15"/>
  <c r="DT15" s="1"/>
  <c r="DV16"/>
  <c r="DV17"/>
  <c r="DT17" s="1"/>
  <c r="DV18"/>
  <c r="DV19"/>
  <c r="DT19" s="1"/>
  <c r="DV20"/>
  <c r="DV21"/>
  <c r="DT21" s="1"/>
  <c r="DV23"/>
  <c r="DV24"/>
  <c r="DV25"/>
  <c r="DV26"/>
  <c r="DT26" s="1"/>
  <c r="DV27"/>
  <c r="DT28"/>
  <c r="DT24"/>
  <c r="DT20"/>
  <c r="DT16"/>
  <c r="DT12"/>
  <c r="DT8"/>
  <c r="DX17"/>
  <c r="DY17"/>
  <c r="DZ17"/>
  <c r="EB17"/>
  <c r="EC17"/>
  <c r="EA17" s="1"/>
  <c r="ED17"/>
  <c r="EI17"/>
  <c r="EJ17"/>
  <c r="EK17"/>
  <c r="EM17"/>
  <c r="EN17"/>
  <c r="EO17"/>
  <c r="EQ17"/>
  <c r="EP17" s="1"/>
  <c r="ER17"/>
  <c r="ES17"/>
  <c r="EU17"/>
  <c r="EV17"/>
  <c r="ET17" s="1"/>
  <c r="EW17"/>
  <c r="DC5"/>
  <c r="DB5" s="1"/>
  <c r="DC6"/>
  <c r="DC7"/>
  <c r="DB7" s="1"/>
  <c r="DC8"/>
  <c r="DC9"/>
  <c r="DB9" s="1"/>
  <c r="DC10"/>
  <c r="DC11"/>
  <c r="DB11" s="1"/>
  <c r="DC12"/>
  <c r="DC13"/>
  <c r="DB13" s="1"/>
  <c r="DC14"/>
  <c r="DC15"/>
  <c r="DB15" s="1"/>
  <c r="DC16"/>
  <c r="DC17"/>
  <c r="DB17" s="1"/>
  <c r="DC18"/>
  <c r="DC19"/>
  <c r="DB19" s="1"/>
  <c r="DC20"/>
  <c r="DC21"/>
  <c r="DB21" s="1"/>
  <c r="DC23"/>
  <c r="DC24"/>
  <c r="DC25"/>
  <c r="DC26"/>
  <c r="DC27"/>
  <c r="DC29"/>
  <c r="DD5"/>
  <c r="DD6"/>
  <c r="DB6" s="1"/>
  <c r="DD7"/>
  <c r="DD8"/>
  <c r="DB8" s="1"/>
  <c r="DD9"/>
  <c r="DD10"/>
  <c r="DB10" s="1"/>
  <c r="DD11"/>
  <c r="DD12"/>
  <c r="DD13"/>
  <c r="DD14"/>
  <c r="DB14" s="1"/>
  <c r="DD15"/>
  <c r="DD16"/>
  <c r="DB16" s="1"/>
  <c r="DD17"/>
  <c r="DD18"/>
  <c r="DB18" s="1"/>
  <c r="DD19"/>
  <c r="DD20"/>
  <c r="DD21"/>
  <c r="C147" i="5"/>
  <c r="DD23" i="25"/>
  <c r="DD24"/>
  <c r="DD25"/>
  <c r="DD26"/>
  <c r="DD27"/>
  <c r="DB28"/>
  <c r="DB27"/>
  <c r="DB25"/>
  <c r="DB23"/>
  <c r="DB20"/>
  <c r="DB12"/>
  <c r="DF17"/>
  <c r="DG17"/>
  <c r="DI17"/>
  <c r="DJ17"/>
  <c r="DK17"/>
  <c r="DM17"/>
  <c r="DN17"/>
  <c r="DL17" s="1"/>
  <c r="DO17"/>
  <c r="DQ17"/>
  <c r="DR17"/>
  <c r="DS17"/>
  <c r="C194" i="15"/>
  <c r="C163"/>
  <c r="C159"/>
  <c r="C155"/>
  <c r="C147"/>
  <c r="EX16" i="25"/>
  <c r="EY27"/>
  <c r="EY26"/>
  <c r="EY25"/>
  <c r="EY24"/>
  <c r="EY23"/>
  <c r="EY21"/>
  <c r="EY20"/>
  <c r="EY19"/>
  <c r="EY18"/>
  <c r="EY16"/>
  <c r="EY15"/>
  <c r="EY14"/>
  <c r="EY13"/>
  <c r="EY12"/>
  <c r="EY11"/>
  <c r="EY10"/>
  <c r="EY9"/>
  <c r="EY8"/>
  <c r="EY7"/>
  <c r="EY6"/>
  <c r="EY5"/>
  <c r="EX27"/>
  <c r="EX26"/>
  <c r="EX25"/>
  <c r="EX24"/>
  <c r="EX23"/>
  <c r="EX21"/>
  <c r="EX20"/>
  <c r="EX19"/>
  <c r="EX18"/>
  <c r="EX15"/>
  <c r="EX14"/>
  <c r="EX13"/>
  <c r="EX12"/>
  <c r="EX11"/>
  <c r="EX10"/>
  <c r="EX9"/>
  <c r="EX8"/>
  <c r="EX7"/>
  <c r="EX6"/>
  <c r="EX5"/>
  <c r="EX29"/>
  <c r="EU5"/>
  <c r="EU6"/>
  <c r="ET6" s="1"/>
  <c r="EU7"/>
  <c r="EU8"/>
  <c r="ET8" s="1"/>
  <c r="EU9"/>
  <c r="EU10"/>
  <c r="ET10" s="1"/>
  <c r="EU11"/>
  <c r="EU12"/>
  <c r="ET12" s="1"/>
  <c r="EU13"/>
  <c r="EU14"/>
  <c r="ET14" s="1"/>
  <c r="EU15"/>
  <c r="EU16"/>
  <c r="ET16" s="1"/>
  <c r="EU18"/>
  <c r="EU19"/>
  <c r="EU20"/>
  <c r="EU21"/>
  <c r="EU23"/>
  <c r="EU24"/>
  <c r="ET24" s="1"/>
  <c r="EU25"/>
  <c r="EU26"/>
  <c r="EU27"/>
  <c r="EV5"/>
  <c r="EV6"/>
  <c r="EV7"/>
  <c r="EV8"/>
  <c r="EV9"/>
  <c r="EV10"/>
  <c r="EV11"/>
  <c r="EV12"/>
  <c r="EV13"/>
  <c r="EV14"/>
  <c r="EV15"/>
  <c r="EV16"/>
  <c r="EV18"/>
  <c r="EV19"/>
  <c r="EV20"/>
  <c r="EV21"/>
  <c r="C198" i="5"/>
  <c r="EV23" i="25"/>
  <c r="ET23" s="1"/>
  <c r="EV24"/>
  <c r="EV25"/>
  <c r="ET25" s="1"/>
  <c r="EV26"/>
  <c r="EV27"/>
  <c r="ET27" s="1"/>
  <c r="EW5"/>
  <c r="EW6"/>
  <c r="EW7"/>
  <c r="EW8"/>
  <c r="EW9"/>
  <c r="EW10"/>
  <c r="EW11"/>
  <c r="EW12"/>
  <c r="EW13"/>
  <c r="EW14"/>
  <c r="EW15"/>
  <c r="EW16"/>
  <c r="EW18"/>
  <c r="EW19"/>
  <c r="EW20"/>
  <c r="EW21"/>
  <c r="EW23"/>
  <c r="EW24"/>
  <c r="EW25"/>
  <c r="EW26"/>
  <c r="EW27"/>
  <c r="ET28"/>
  <c r="ET22"/>
  <c r="ET20"/>
  <c r="ET18"/>
  <c r="ET15"/>
  <c r="ET13"/>
  <c r="ET11"/>
  <c r="ET9"/>
  <c r="ET7"/>
  <c r="ET5"/>
  <c r="EQ5"/>
  <c r="EQ6"/>
  <c r="EQ7"/>
  <c r="EQ8"/>
  <c r="EQ9"/>
  <c r="EQ10"/>
  <c r="EQ11"/>
  <c r="EQ12"/>
  <c r="EQ13"/>
  <c r="EQ14"/>
  <c r="EQ15"/>
  <c r="EQ16"/>
  <c r="EQ18"/>
  <c r="EQ19"/>
  <c r="EQ20"/>
  <c r="EQ21"/>
  <c r="EP21" s="1"/>
  <c r="EQ23"/>
  <c r="EQ24"/>
  <c r="EQ25"/>
  <c r="EQ26"/>
  <c r="EQ27"/>
  <c r="ER5"/>
  <c r="EP5" s="1"/>
  <c r="ER6"/>
  <c r="ER7"/>
  <c r="EP7" s="1"/>
  <c r="ER8"/>
  <c r="ER9"/>
  <c r="EP9" s="1"/>
  <c r="ER10"/>
  <c r="ER11"/>
  <c r="EP11" s="1"/>
  <c r="ER12"/>
  <c r="ER13"/>
  <c r="EP13" s="1"/>
  <c r="ER14"/>
  <c r="ER15"/>
  <c r="EP15" s="1"/>
  <c r="ER16"/>
  <c r="ER18"/>
  <c r="ER19"/>
  <c r="ER20"/>
  <c r="ER21"/>
  <c r="C194" i="5"/>
  <c r="ER23" i="25"/>
  <c r="ER24"/>
  <c r="EP24" s="1"/>
  <c r="ER25"/>
  <c r="ER26"/>
  <c r="EP26" s="1"/>
  <c r="ER27"/>
  <c r="ES5"/>
  <c r="ES6"/>
  <c r="ES7"/>
  <c r="ES8"/>
  <c r="ES9"/>
  <c r="ES10"/>
  <c r="ES11"/>
  <c r="ES12"/>
  <c r="ES13"/>
  <c r="ES14"/>
  <c r="ES15"/>
  <c r="ES16"/>
  <c r="ES18"/>
  <c r="ES19"/>
  <c r="ES20"/>
  <c r="ES21"/>
  <c r="ES23"/>
  <c r="ES24"/>
  <c r="ES25"/>
  <c r="ES26"/>
  <c r="ES27"/>
  <c r="EP28"/>
  <c r="EP25"/>
  <c r="EP19"/>
  <c r="EP16"/>
  <c r="EP14"/>
  <c r="EP12"/>
  <c r="EP10"/>
  <c r="EP8"/>
  <c r="EP6"/>
  <c r="EM5"/>
  <c r="EM29" s="1"/>
  <c r="EM6"/>
  <c r="EM7"/>
  <c r="EL7" s="1"/>
  <c r="EM8"/>
  <c r="EM9"/>
  <c r="EM10"/>
  <c r="EM11"/>
  <c r="EL11" s="1"/>
  <c r="EM12"/>
  <c r="EM13"/>
  <c r="EM14"/>
  <c r="EM15"/>
  <c r="EL15" s="1"/>
  <c r="EM16"/>
  <c r="EM18"/>
  <c r="EL18" s="1"/>
  <c r="EM19"/>
  <c r="EM20"/>
  <c r="EM21"/>
  <c r="EM23"/>
  <c r="EL23" s="1"/>
  <c r="EM24"/>
  <c r="EM25"/>
  <c r="EM26"/>
  <c r="EM27"/>
  <c r="EL27" s="1"/>
  <c r="EN5"/>
  <c r="EN29" s="1"/>
  <c r="EN6"/>
  <c r="EN7"/>
  <c r="EN8"/>
  <c r="EN9"/>
  <c r="EN10"/>
  <c r="EN11"/>
  <c r="EN12"/>
  <c r="EN13"/>
  <c r="EN14"/>
  <c r="EN15"/>
  <c r="EN16"/>
  <c r="EN18"/>
  <c r="EN19"/>
  <c r="EN20"/>
  <c r="EN21"/>
  <c r="EN23"/>
  <c r="EN24"/>
  <c r="EN25"/>
  <c r="EN26"/>
  <c r="EN27"/>
  <c r="EO5"/>
  <c r="EO29" s="1"/>
  <c r="EO6"/>
  <c r="EO7"/>
  <c r="EO8"/>
  <c r="EO9"/>
  <c r="EO10"/>
  <c r="EO11"/>
  <c r="EO12"/>
  <c r="EO13"/>
  <c r="EO14"/>
  <c r="EO15"/>
  <c r="EO16"/>
  <c r="EO18"/>
  <c r="EO19"/>
  <c r="EO20"/>
  <c r="EO21"/>
  <c r="EO23"/>
  <c r="EO24"/>
  <c r="EO25"/>
  <c r="EO26"/>
  <c r="EO27"/>
  <c r="EL28"/>
  <c r="EL25"/>
  <c r="EL20"/>
  <c r="EL17"/>
  <c r="EL13"/>
  <c r="EL9"/>
  <c r="EL5"/>
  <c r="EI5"/>
  <c r="EI6"/>
  <c r="EI7"/>
  <c r="EI8"/>
  <c r="EH8" s="1"/>
  <c r="EI9"/>
  <c r="EI10"/>
  <c r="EI11"/>
  <c r="EI12"/>
  <c r="EH12" s="1"/>
  <c r="EI13"/>
  <c r="EI14"/>
  <c r="EI15"/>
  <c r="EI16"/>
  <c r="EH16" s="1"/>
  <c r="EI18"/>
  <c r="EI19"/>
  <c r="EI20"/>
  <c r="EI21"/>
  <c r="EI23"/>
  <c r="EI24"/>
  <c r="EI25"/>
  <c r="EI26"/>
  <c r="EH26" s="1"/>
  <c r="EI27"/>
  <c r="EJ5"/>
  <c r="EJ6"/>
  <c r="EJ7"/>
  <c r="EH7" s="1"/>
  <c r="EJ8"/>
  <c r="EJ9"/>
  <c r="EH9" s="1"/>
  <c r="EJ10"/>
  <c r="EJ11"/>
  <c r="EH11" s="1"/>
  <c r="EJ12"/>
  <c r="EJ13"/>
  <c r="EH13" s="1"/>
  <c r="EJ14"/>
  <c r="EJ15"/>
  <c r="EH15" s="1"/>
  <c r="EJ16"/>
  <c r="EJ18"/>
  <c r="EJ19"/>
  <c r="EJ20"/>
  <c r="EJ21"/>
  <c r="EJ23"/>
  <c r="EH23" s="1"/>
  <c r="EJ24"/>
  <c r="EJ25"/>
  <c r="EH25" s="1"/>
  <c r="EJ26"/>
  <c r="EJ27"/>
  <c r="EH27" s="1"/>
  <c r="EK5"/>
  <c r="EK6"/>
  <c r="EK7"/>
  <c r="EK8"/>
  <c r="EK9"/>
  <c r="EK10"/>
  <c r="EK11"/>
  <c r="EK12"/>
  <c r="EK13"/>
  <c r="EK14"/>
  <c r="EK15"/>
  <c r="EK16"/>
  <c r="EK18"/>
  <c r="EK19"/>
  <c r="EK20"/>
  <c r="EK21"/>
  <c r="EK23"/>
  <c r="EK24"/>
  <c r="EK25"/>
  <c r="EK26"/>
  <c r="EK27"/>
  <c r="EH28"/>
  <c r="EH24"/>
  <c r="EH19"/>
  <c r="EH14"/>
  <c r="EH10"/>
  <c r="EH6"/>
  <c r="EB5"/>
  <c r="EB6"/>
  <c r="EA6" s="1"/>
  <c r="EB7"/>
  <c r="EB8"/>
  <c r="EB9"/>
  <c r="EB10"/>
  <c r="EA10" s="1"/>
  <c r="EB11"/>
  <c r="EB12"/>
  <c r="EB13"/>
  <c r="EB14"/>
  <c r="EA14" s="1"/>
  <c r="EB15"/>
  <c r="EB16"/>
  <c r="EB18"/>
  <c r="EB19"/>
  <c r="EB20"/>
  <c r="EB21"/>
  <c r="EB23"/>
  <c r="EB24"/>
  <c r="EB25"/>
  <c r="EB26"/>
  <c r="EA26" s="1"/>
  <c r="EB27"/>
  <c r="EC5"/>
  <c r="EC6"/>
  <c r="EC7"/>
  <c r="EC8"/>
  <c r="EC9"/>
  <c r="EC10"/>
  <c r="EC11"/>
  <c r="EC12"/>
  <c r="EC13"/>
  <c r="EC14"/>
  <c r="EC15"/>
  <c r="EC16"/>
  <c r="EC18"/>
  <c r="EC19"/>
  <c r="EC20"/>
  <c r="EC21"/>
  <c r="EC23"/>
  <c r="EC24"/>
  <c r="EC25"/>
  <c r="EC26"/>
  <c r="EC27"/>
  <c r="ED5"/>
  <c r="ED6"/>
  <c r="ED7"/>
  <c r="ED8"/>
  <c r="ED9"/>
  <c r="ED10"/>
  <c r="ED11"/>
  <c r="ED12"/>
  <c r="ED13"/>
  <c r="ED14"/>
  <c r="ED15"/>
  <c r="ED16"/>
  <c r="ED18"/>
  <c r="ED19"/>
  <c r="ED20"/>
  <c r="ED21"/>
  <c r="ED23"/>
  <c r="ED24"/>
  <c r="ED25"/>
  <c r="ED26"/>
  <c r="ED27"/>
  <c r="EA28"/>
  <c r="EA24"/>
  <c r="EA16"/>
  <c r="EA12"/>
  <c r="EA8"/>
  <c r="DX5"/>
  <c r="DW5" s="1"/>
  <c r="DX6"/>
  <c r="DX7"/>
  <c r="DX8"/>
  <c r="DX9"/>
  <c r="DX10"/>
  <c r="DX11"/>
  <c r="DX12"/>
  <c r="DX13"/>
  <c r="DW13" s="1"/>
  <c r="DX14"/>
  <c r="DX15"/>
  <c r="DX16"/>
  <c r="DX18"/>
  <c r="DX19"/>
  <c r="DX20"/>
  <c r="DX21"/>
  <c r="DX23"/>
  <c r="DW23" s="1"/>
  <c r="DX24"/>
  <c r="DX25"/>
  <c r="DX26"/>
  <c r="DX27"/>
  <c r="DY5"/>
  <c r="DY6"/>
  <c r="DW6" s="1"/>
  <c r="DY7"/>
  <c r="DY8"/>
  <c r="DW8" s="1"/>
  <c r="DY9"/>
  <c r="DY10"/>
  <c r="DW10" s="1"/>
  <c r="DY11"/>
  <c r="DY12"/>
  <c r="DW12" s="1"/>
  <c r="DY13"/>
  <c r="DY14"/>
  <c r="DW14" s="1"/>
  <c r="DY15"/>
  <c r="DY16"/>
  <c r="DW16" s="1"/>
  <c r="DY18"/>
  <c r="DY19"/>
  <c r="DW19" s="1"/>
  <c r="DY20"/>
  <c r="DY21"/>
  <c r="DW21" s="1"/>
  <c r="DY23"/>
  <c r="DY24"/>
  <c r="DW24" s="1"/>
  <c r="DY25"/>
  <c r="DY26"/>
  <c r="DW26" s="1"/>
  <c r="DY27"/>
  <c r="DZ5"/>
  <c r="DZ6"/>
  <c r="DZ7"/>
  <c r="DZ8"/>
  <c r="DZ9"/>
  <c r="DZ10"/>
  <c r="DZ11"/>
  <c r="DZ12"/>
  <c r="DZ13"/>
  <c r="DZ14"/>
  <c r="DZ15"/>
  <c r="DZ16"/>
  <c r="DZ18"/>
  <c r="DZ19"/>
  <c r="DZ20"/>
  <c r="DZ21"/>
  <c r="DZ23"/>
  <c r="DZ24"/>
  <c r="DZ25"/>
  <c r="DZ26"/>
  <c r="DZ27"/>
  <c r="DW28"/>
  <c r="DW27"/>
  <c r="DW17"/>
  <c r="DW9"/>
  <c r="DF5"/>
  <c r="DF29" s="1"/>
  <c r="DF6"/>
  <c r="DF7"/>
  <c r="DE7" s="1"/>
  <c r="DF8"/>
  <c r="DF9"/>
  <c r="DF10"/>
  <c r="DF11"/>
  <c r="DE11" s="1"/>
  <c r="DF12"/>
  <c r="DF13"/>
  <c r="DF14"/>
  <c r="DF15"/>
  <c r="DE15" s="1"/>
  <c r="DF16"/>
  <c r="DF18"/>
  <c r="DE18" s="1"/>
  <c r="DF19"/>
  <c r="DF20"/>
  <c r="DF21"/>
  <c r="DF23"/>
  <c r="DE23" s="1"/>
  <c r="DF24"/>
  <c r="DF25"/>
  <c r="DF26"/>
  <c r="DF27"/>
  <c r="DE27" s="1"/>
  <c r="DG5"/>
  <c r="DG6"/>
  <c r="DG7"/>
  <c r="DG8"/>
  <c r="DG9"/>
  <c r="DG10"/>
  <c r="DG11"/>
  <c r="DG12"/>
  <c r="DG13"/>
  <c r="DG14"/>
  <c r="DG15"/>
  <c r="DG16"/>
  <c r="DG18"/>
  <c r="DG19"/>
  <c r="DG20"/>
  <c r="DG21"/>
  <c r="DG23"/>
  <c r="DG24"/>
  <c r="DG25"/>
  <c r="DG26"/>
  <c r="DG27"/>
  <c r="DE28"/>
  <c r="DE25"/>
  <c r="DE20"/>
  <c r="DE17"/>
  <c r="DE13"/>
  <c r="DE9"/>
  <c r="DE5"/>
  <c r="DQ5"/>
  <c r="DQ6"/>
  <c r="DQ7"/>
  <c r="DQ8"/>
  <c r="DP8" s="1"/>
  <c r="DQ9"/>
  <c r="DQ10"/>
  <c r="DQ11"/>
  <c r="DQ12"/>
  <c r="DP12" s="1"/>
  <c r="DQ13"/>
  <c r="DQ14"/>
  <c r="DQ15"/>
  <c r="DQ16"/>
  <c r="DP16" s="1"/>
  <c r="DQ18"/>
  <c r="DQ19"/>
  <c r="DQ20"/>
  <c r="DQ21"/>
  <c r="DQ23"/>
  <c r="DQ24"/>
  <c r="DQ25"/>
  <c r="DQ26"/>
  <c r="DP26" s="1"/>
  <c r="DQ27"/>
  <c r="DR5"/>
  <c r="DR6"/>
  <c r="DR7"/>
  <c r="DP7" s="1"/>
  <c r="DR8"/>
  <c r="DR9"/>
  <c r="DP9" s="1"/>
  <c r="DR10"/>
  <c r="DR11"/>
  <c r="DP11" s="1"/>
  <c r="DR12"/>
  <c r="DR13"/>
  <c r="DP13" s="1"/>
  <c r="DR14"/>
  <c r="DR15"/>
  <c r="DP15" s="1"/>
  <c r="DR16"/>
  <c r="DR18"/>
  <c r="DR19"/>
  <c r="DR20"/>
  <c r="DR21"/>
  <c r="DR23"/>
  <c r="DP23" s="1"/>
  <c r="DR24"/>
  <c r="DR25"/>
  <c r="DP25" s="1"/>
  <c r="DR26"/>
  <c r="DR27"/>
  <c r="DP27" s="1"/>
  <c r="DS5"/>
  <c r="DS6"/>
  <c r="DS7"/>
  <c r="DS8"/>
  <c r="DS9"/>
  <c r="DS10"/>
  <c r="DS11"/>
  <c r="DS12"/>
  <c r="DS13"/>
  <c r="DS14"/>
  <c r="DS15"/>
  <c r="DS16"/>
  <c r="DS18"/>
  <c r="DS19"/>
  <c r="DS20"/>
  <c r="DS21"/>
  <c r="DS23"/>
  <c r="DS24"/>
  <c r="DS25"/>
  <c r="DS26"/>
  <c r="DS27"/>
  <c r="DP28"/>
  <c r="DH28" s="1"/>
  <c r="DP24"/>
  <c r="DP19"/>
  <c r="DP14"/>
  <c r="DP10"/>
  <c r="DP6"/>
  <c r="DM5"/>
  <c r="DM6"/>
  <c r="DL6" s="1"/>
  <c r="DM7"/>
  <c r="DM8"/>
  <c r="DM9"/>
  <c r="DM10"/>
  <c r="DL10" s="1"/>
  <c r="DM11"/>
  <c r="DM12"/>
  <c r="DM13"/>
  <c r="DM14"/>
  <c r="DL14" s="1"/>
  <c r="DM15"/>
  <c r="DM16"/>
  <c r="DM18"/>
  <c r="DM19"/>
  <c r="DM20"/>
  <c r="DM21"/>
  <c r="DM23"/>
  <c r="DM24"/>
  <c r="DM25"/>
  <c r="DM26"/>
  <c r="DL26" s="1"/>
  <c r="DM27"/>
  <c r="DN5"/>
  <c r="DN6"/>
  <c r="DN7"/>
  <c r="DN8"/>
  <c r="DN9"/>
  <c r="DN10"/>
  <c r="DN11"/>
  <c r="DN12"/>
  <c r="DN13"/>
  <c r="DN14"/>
  <c r="DN15"/>
  <c r="DN16"/>
  <c r="DN18"/>
  <c r="DN19"/>
  <c r="DN20"/>
  <c r="DN21"/>
  <c r="DN23"/>
  <c r="DN24"/>
  <c r="DN25"/>
  <c r="DN26"/>
  <c r="DN27"/>
  <c r="DO5"/>
  <c r="DO6"/>
  <c r="DO7"/>
  <c r="DO8"/>
  <c r="DO9"/>
  <c r="DO10"/>
  <c r="DO11"/>
  <c r="DO12"/>
  <c r="DO13"/>
  <c r="DO14"/>
  <c r="DO15"/>
  <c r="DO16"/>
  <c r="DO18"/>
  <c r="DO19"/>
  <c r="DO20"/>
  <c r="DO21"/>
  <c r="DO23"/>
  <c r="DO24"/>
  <c r="DO25"/>
  <c r="DO26"/>
  <c r="DO27"/>
  <c r="DL28"/>
  <c r="DL24"/>
  <c r="DL16"/>
  <c r="DL12"/>
  <c r="DL8"/>
  <c r="DK27"/>
  <c r="DK26"/>
  <c r="DK25"/>
  <c r="DK24"/>
  <c r="DK23"/>
  <c r="C156" i="5"/>
  <c r="DI22" i="25" s="1"/>
  <c r="DI29" s="1"/>
  <c r="DK21"/>
  <c r="DK20"/>
  <c r="DK19"/>
  <c r="DK18"/>
  <c r="DK16"/>
  <c r="DK15"/>
  <c r="DK14"/>
  <c r="DK13"/>
  <c r="DK12"/>
  <c r="DK11"/>
  <c r="DK10"/>
  <c r="DK5"/>
  <c r="DK6"/>
  <c r="DK7"/>
  <c r="DK8"/>
  <c r="DK9"/>
  <c r="DK29"/>
  <c r="DI5"/>
  <c r="DI6"/>
  <c r="DI7"/>
  <c r="DI8"/>
  <c r="DI9"/>
  <c r="DI10"/>
  <c r="DI11"/>
  <c r="DI12"/>
  <c r="DI13"/>
  <c r="DI14"/>
  <c r="DI15"/>
  <c r="DI16"/>
  <c r="DI18"/>
  <c r="DI19"/>
  <c r="DI20"/>
  <c r="DI21"/>
  <c r="DI23"/>
  <c r="DI24"/>
  <c r="DH24" s="1"/>
  <c r="DI25"/>
  <c r="DI26"/>
  <c r="DI27"/>
  <c r="DJ5"/>
  <c r="DJ6"/>
  <c r="DJ7"/>
  <c r="DJ8"/>
  <c r="DJ9"/>
  <c r="DJ10"/>
  <c r="DJ11"/>
  <c r="DJ12"/>
  <c r="DJ13"/>
  <c r="DJ14"/>
  <c r="DJ15"/>
  <c r="DJ16"/>
  <c r="DJ18"/>
  <c r="DJ19"/>
  <c r="DJ20"/>
  <c r="DJ21"/>
  <c r="C155" i="5"/>
  <c r="DJ23" i="25"/>
  <c r="DH23" s="1"/>
  <c r="DJ24"/>
  <c r="DJ25"/>
  <c r="DH25" s="1"/>
  <c r="DJ26"/>
  <c r="DJ27"/>
  <c r="DH27" s="1"/>
  <c r="CN28"/>
  <c r="CN6"/>
  <c r="CN9"/>
  <c r="CN11"/>
  <c r="CN13"/>
  <c r="CN15"/>
  <c r="CN17"/>
  <c r="CN19"/>
  <c r="CN21"/>
  <c r="CN23"/>
  <c r="CN25"/>
  <c r="CN27"/>
  <c r="CP29"/>
  <c r="CU29"/>
  <c r="CY29"/>
  <c r="CK28"/>
  <c r="CK24"/>
  <c r="CK20"/>
  <c r="CK18"/>
  <c r="CK15"/>
  <c r="CK12"/>
  <c r="CK10"/>
  <c r="CK8"/>
  <c r="CK6"/>
  <c r="CK27"/>
  <c r="CL29"/>
  <c r="CD28"/>
  <c r="CG28"/>
  <c r="CC28" s="1"/>
  <c r="CG18"/>
  <c r="CG14"/>
  <c r="CG10"/>
  <c r="CD26"/>
  <c r="CD18"/>
  <c r="CD14"/>
  <c r="CC14" s="1"/>
  <c r="CD10"/>
  <c r="CD6"/>
  <c r="BZ28"/>
  <c r="BZ27"/>
  <c r="BZ23"/>
  <c r="BZ19"/>
  <c r="BZ15"/>
  <c r="BZ11"/>
  <c r="BZ7"/>
  <c r="BR28"/>
  <c r="BU27"/>
  <c r="BU26"/>
  <c r="BU25"/>
  <c r="BU24"/>
  <c r="BR24" s="1"/>
  <c r="BU23"/>
  <c r="BU21"/>
  <c r="BU20"/>
  <c r="BU19"/>
  <c r="BR19" s="1"/>
  <c r="BU18"/>
  <c r="BU17"/>
  <c r="BU16"/>
  <c r="BU15"/>
  <c r="BR15" s="1"/>
  <c r="BU14"/>
  <c r="BU13"/>
  <c r="BU12"/>
  <c r="BU11"/>
  <c r="BR11" s="1"/>
  <c r="BU10"/>
  <c r="BU9"/>
  <c r="BU8"/>
  <c r="BU7"/>
  <c r="BR7" s="1"/>
  <c r="BU6"/>
  <c r="BU5"/>
  <c r="C103" i="5"/>
  <c r="BP27" i="25"/>
  <c r="BP26"/>
  <c r="BP25"/>
  <c r="BP24"/>
  <c r="BP23"/>
  <c r="C44" i="5"/>
  <c r="T22" i="25" s="1"/>
  <c r="C48" i="5"/>
  <c r="C87"/>
  <c r="BP21" i="25"/>
  <c r="BP20"/>
  <c r="BP19"/>
  <c r="BP18"/>
  <c r="BP17"/>
  <c r="BP16"/>
  <c r="BP15"/>
  <c r="BP14"/>
  <c r="BP13"/>
  <c r="BP12"/>
  <c r="BP11"/>
  <c r="BP10"/>
  <c r="BP9"/>
  <c r="BP8"/>
  <c r="BP7"/>
  <c r="BP6"/>
  <c r="BP5"/>
  <c r="BN27"/>
  <c r="BN26"/>
  <c r="BN25"/>
  <c r="BN24"/>
  <c r="BN23"/>
  <c r="BN21"/>
  <c r="BN20"/>
  <c r="BN19"/>
  <c r="BN18"/>
  <c r="BN17"/>
  <c r="BN16"/>
  <c r="BN15"/>
  <c r="BN14"/>
  <c r="BN13"/>
  <c r="BN12"/>
  <c r="BN11"/>
  <c r="BN10"/>
  <c r="BN9"/>
  <c r="BN8"/>
  <c r="BN7"/>
  <c r="BN6"/>
  <c r="BN5"/>
  <c r="BM27"/>
  <c r="BM26"/>
  <c r="BM25"/>
  <c r="BM24"/>
  <c r="BM23"/>
  <c r="BM21"/>
  <c r="BM20"/>
  <c r="BM19"/>
  <c r="BM18"/>
  <c r="BM17"/>
  <c r="BM16"/>
  <c r="BM15"/>
  <c r="BM14"/>
  <c r="BM13"/>
  <c r="BM12"/>
  <c r="BM11"/>
  <c r="BM10"/>
  <c r="BM9"/>
  <c r="BM8"/>
  <c r="BM7"/>
  <c r="BM6"/>
  <c r="BM5"/>
  <c r="BJ27"/>
  <c r="BJ26"/>
  <c r="BJ25"/>
  <c r="BJ24"/>
  <c r="BL27"/>
  <c r="BL26"/>
  <c r="BL25"/>
  <c r="BL24"/>
  <c r="BK27"/>
  <c r="BK26"/>
  <c r="BK25"/>
  <c r="BK24"/>
  <c r="BL23"/>
  <c r="BL21"/>
  <c r="BL20"/>
  <c r="BL19"/>
  <c r="BL18"/>
  <c r="BL17"/>
  <c r="BL16"/>
  <c r="BL15"/>
  <c r="BL14"/>
  <c r="BL13"/>
  <c r="BL12"/>
  <c r="BL11"/>
  <c r="BL10"/>
  <c r="BL9"/>
  <c r="BL8"/>
  <c r="BL7"/>
  <c r="BL6"/>
  <c r="BL5"/>
  <c r="BK23"/>
  <c r="BK21"/>
  <c r="BK20"/>
  <c r="BK19"/>
  <c r="BK18"/>
  <c r="BK17"/>
  <c r="BK16"/>
  <c r="BK15"/>
  <c r="BK14"/>
  <c r="BK13"/>
  <c r="BK12"/>
  <c r="BK11"/>
  <c r="BK10"/>
  <c r="BK9"/>
  <c r="BK8"/>
  <c r="BK7"/>
  <c r="BK6"/>
  <c r="BK5"/>
  <c r="BG28"/>
  <c r="BJ23"/>
  <c r="BG23" s="1"/>
  <c r="BJ21"/>
  <c r="BJ20"/>
  <c r="BG20" s="1"/>
  <c r="BJ19"/>
  <c r="BJ18"/>
  <c r="BJ17"/>
  <c r="BJ16"/>
  <c r="BG16" s="1"/>
  <c r="BJ15"/>
  <c r="BJ14"/>
  <c r="BJ13"/>
  <c r="BJ12"/>
  <c r="BG12" s="1"/>
  <c r="BJ11"/>
  <c r="BJ10"/>
  <c r="BG10" s="1"/>
  <c r="BJ9"/>
  <c r="BJ8"/>
  <c r="BG8" s="1"/>
  <c r="BJ7"/>
  <c r="BJ6"/>
  <c r="BG6" s="1"/>
  <c r="BJ5"/>
  <c r="BF24"/>
  <c r="BI27"/>
  <c r="BI26"/>
  <c r="BI25"/>
  <c r="BI24"/>
  <c r="BI23"/>
  <c r="BI21"/>
  <c r="BI20"/>
  <c r="BI19"/>
  <c r="BI18"/>
  <c r="BI17"/>
  <c r="BI16"/>
  <c r="BI15"/>
  <c r="BI14"/>
  <c r="BI13"/>
  <c r="BI12"/>
  <c r="BI11"/>
  <c r="BI10"/>
  <c r="BI9"/>
  <c r="BI8"/>
  <c r="BI7"/>
  <c r="BI6"/>
  <c r="BI5"/>
  <c r="BI29" s="1"/>
  <c r="BH27"/>
  <c r="BH26"/>
  <c r="BG26" s="1"/>
  <c r="BH25"/>
  <c r="BH24"/>
  <c r="BG24" s="1"/>
  <c r="BH23"/>
  <c r="BH21"/>
  <c r="BG21" s="1"/>
  <c r="BH20"/>
  <c r="BH19"/>
  <c r="BH18"/>
  <c r="BH17"/>
  <c r="BG17" s="1"/>
  <c r="BH16"/>
  <c r="BH15"/>
  <c r="BG15" s="1"/>
  <c r="BH14"/>
  <c r="BH13"/>
  <c r="BG13" s="1"/>
  <c r="BH12"/>
  <c r="BH11"/>
  <c r="BH10"/>
  <c r="BH9"/>
  <c r="BG9" s="1"/>
  <c r="BH8"/>
  <c r="BH7"/>
  <c r="BG7" s="1"/>
  <c r="BH6"/>
  <c r="BH5"/>
  <c r="BG5" s="1"/>
  <c r="BD9"/>
  <c r="BF7"/>
  <c r="BF6"/>
  <c r="BF5"/>
  <c r="BF29" s="1"/>
  <c r="BF27"/>
  <c r="BF26"/>
  <c r="BF25"/>
  <c r="BF23"/>
  <c r="BF21"/>
  <c r="BF20"/>
  <c r="BF19"/>
  <c r="BF18"/>
  <c r="BF17"/>
  <c r="BF16"/>
  <c r="BF15"/>
  <c r="BF14"/>
  <c r="BF13"/>
  <c r="BF12"/>
  <c r="BF11"/>
  <c r="BF10"/>
  <c r="BF9"/>
  <c r="BF8"/>
  <c r="AZ28"/>
  <c r="BE27"/>
  <c r="AZ27" s="1"/>
  <c r="BE26"/>
  <c r="BE25"/>
  <c r="BE24"/>
  <c r="BE23"/>
  <c r="AZ23" s="1"/>
  <c r="BD23"/>
  <c r="BE21"/>
  <c r="BE20"/>
  <c r="BE19"/>
  <c r="BE18"/>
  <c r="BE17"/>
  <c r="BE16"/>
  <c r="BE15"/>
  <c r="BE14"/>
  <c r="BE13"/>
  <c r="BE12"/>
  <c r="BE11"/>
  <c r="BE10"/>
  <c r="BE9"/>
  <c r="BE8"/>
  <c r="BE7"/>
  <c r="BE6"/>
  <c r="BE5"/>
  <c r="BD27"/>
  <c r="BD26"/>
  <c r="BD25"/>
  <c r="BD24"/>
  <c r="BD21"/>
  <c r="BD20"/>
  <c r="AZ20" s="1"/>
  <c r="BD19"/>
  <c r="BD18"/>
  <c r="AZ18" s="1"/>
  <c r="BD17"/>
  <c r="BD16"/>
  <c r="BD15"/>
  <c r="BD14"/>
  <c r="AZ14" s="1"/>
  <c r="BD13"/>
  <c r="BD12"/>
  <c r="AZ12" s="1"/>
  <c r="BD11"/>
  <c r="BD10"/>
  <c r="AZ10" s="1"/>
  <c r="BD8"/>
  <c r="BD7"/>
  <c r="BD6"/>
  <c r="BD5"/>
  <c r="BD29" s="1"/>
  <c r="BC27"/>
  <c r="BC26"/>
  <c r="BC25"/>
  <c r="BC24"/>
  <c r="BC23"/>
  <c r="BC21"/>
  <c r="BC20"/>
  <c r="BC19"/>
  <c r="BC18"/>
  <c r="BC17"/>
  <c r="BC16"/>
  <c r="BC15"/>
  <c r="BC14"/>
  <c r="BC13"/>
  <c r="BC12"/>
  <c r="BC11"/>
  <c r="BC10"/>
  <c r="BC9"/>
  <c r="BC8"/>
  <c r="BC7"/>
  <c r="BC6"/>
  <c r="BC5"/>
  <c r="BB27"/>
  <c r="BB26"/>
  <c r="BB25"/>
  <c r="BB24"/>
  <c r="BB23"/>
  <c r="BB21"/>
  <c r="BB20"/>
  <c r="BB19"/>
  <c r="BB18"/>
  <c r="BB17"/>
  <c r="BB16"/>
  <c r="BB15"/>
  <c r="BB14"/>
  <c r="BB13"/>
  <c r="BB12"/>
  <c r="BB11"/>
  <c r="BB10"/>
  <c r="BB9"/>
  <c r="BB8"/>
  <c r="BB7"/>
  <c r="BB6"/>
  <c r="BB5"/>
  <c r="BA27"/>
  <c r="BA26"/>
  <c r="AZ26" s="1"/>
  <c r="BA25"/>
  <c r="BA24"/>
  <c r="AZ24" s="1"/>
  <c r="BA23"/>
  <c r="C81" i="5"/>
  <c r="BA22" i="25" s="1"/>
  <c r="BA21"/>
  <c r="AZ21" s="1"/>
  <c r="BA20"/>
  <c r="BA19"/>
  <c r="AZ19" s="1"/>
  <c r="BA18"/>
  <c r="BA17"/>
  <c r="BA16"/>
  <c r="BA15"/>
  <c r="AZ15" s="1"/>
  <c r="BA14"/>
  <c r="BA13"/>
  <c r="AZ13" s="1"/>
  <c r="BA12"/>
  <c r="BA11"/>
  <c r="AZ11" s="1"/>
  <c r="BA10"/>
  <c r="BA9"/>
  <c r="BA8"/>
  <c r="BA7"/>
  <c r="AZ7" s="1"/>
  <c r="BA6"/>
  <c r="BA5"/>
  <c r="AX24"/>
  <c r="AW24"/>
  <c r="AV24"/>
  <c r="AU24"/>
  <c r="AS24" s="1"/>
  <c r="AT24"/>
  <c r="AR24"/>
  <c r="AP24" s="1"/>
  <c r="AQ24"/>
  <c r="AO24"/>
  <c r="AN24"/>
  <c r="AM24"/>
  <c r="AL24"/>
  <c r="AK24"/>
  <c r="AI24" s="1"/>
  <c r="AJ24"/>
  <c r="AH24"/>
  <c r="AG24"/>
  <c r="AF24"/>
  <c r="AE24" s="1"/>
  <c r="AY24" s="1"/>
  <c r="AC24"/>
  <c r="AA24"/>
  <c r="Z24"/>
  <c r="Y24"/>
  <c r="X24"/>
  <c r="W24"/>
  <c r="V24"/>
  <c r="U24"/>
  <c r="T24"/>
  <c r="AB24" s="1"/>
  <c r="AD24" s="1"/>
  <c r="S24"/>
  <c r="R24"/>
  <c r="Q24"/>
  <c r="P24"/>
  <c r="O24"/>
  <c r="N24"/>
  <c r="M24"/>
  <c r="L24"/>
  <c r="K24"/>
  <c r="J24"/>
  <c r="I24"/>
  <c r="H24"/>
  <c r="AS28"/>
  <c r="AX27"/>
  <c r="AX26"/>
  <c r="AX25"/>
  <c r="AX23"/>
  <c r="AX22"/>
  <c r="AX21"/>
  <c r="AX20"/>
  <c r="AX19"/>
  <c r="AX18"/>
  <c r="AX17"/>
  <c r="AX16"/>
  <c r="AX15"/>
  <c r="AX14"/>
  <c r="AX13"/>
  <c r="AW13"/>
  <c r="AW5"/>
  <c r="AW6"/>
  <c r="AW7"/>
  <c r="AW8"/>
  <c r="AW9"/>
  <c r="AW10"/>
  <c r="AW11"/>
  <c r="AW12"/>
  <c r="AX12"/>
  <c r="AS12" s="1"/>
  <c r="AX11"/>
  <c r="AX10"/>
  <c r="AX9"/>
  <c r="AX8"/>
  <c r="AS8" s="1"/>
  <c r="AX7"/>
  <c r="AX6"/>
  <c r="AX29" s="1"/>
  <c r="AX5"/>
  <c r="AW27"/>
  <c r="AW26"/>
  <c r="AW25"/>
  <c r="AS25" s="1"/>
  <c r="AW23"/>
  <c r="AW22"/>
  <c r="AS22" s="1"/>
  <c r="AW21"/>
  <c r="AW20"/>
  <c r="AS20" s="1"/>
  <c r="AW19"/>
  <c r="AW18"/>
  <c r="AW17"/>
  <c r="AW16"/>
  <c r="AS16" s="1"/>
  <c r="AW15"/>
  <c r="AW14"/>
  <c r="AS14" s="1"/>
  <c r="AV27"/>
  <c r="AV26"/>
  <c r="AV25"/>
  <c r="AV23"/>
  <c r="AV22"/>
  <c r="AV21"/>
  <c r="AV20"/>
  <c r="AV19"/>
  <c r="AV18"/>
  <c r="AV17"/>
  <c r="AV16"/>
  <c r="AV15"/>
  <c r="AV14"/>
  <c r="AV13"/>
  <c r="AV12"/>
  <c r="AV11"/>
  <c r="AV10"/>
  <c r="AV9"/>
  <c r="AV8"/>
  <c r="AV7"/>
  <c r="AV6"/>
  <c r="AU11"/>
  <c r="AU10"/>
  <c r="AU9"/>
  <c r="AU8"/>
  <c r="AU7"/>
  <c r="AU6"/>
  <c r="AV5"/>
  <c r="AV29" s="1"/>
  <c r="AU27"/>
  <c r="AU26"/>
  <c r="AU25"/>
  <c r="AU23"/>
  <c r="AU22"/>
  <c r="AU21"/>
  <c r="AU20"/>
  <c r="AU19"/>
  <c r="AU18"/>
  <c r="AU17"/>
  <c r="AU16"/>
  <c r="AU15"/>
  <c r="AU14"/>
  <c r="AU13"/>
  <c r="AU12"/>
  <c r="AU5"/>
  <c r="AT27"/>
  <c r="AT26"/>
  <c r="AT25"/>
  <c r="AT23"/>
  <c r="AS23" s="1"/>
  <c r="AT22"/>
  <c r="AT21"/>
  <c r="AS21" s="1"/>
  <c r="AT20"/>
  <c r="AT19"/>
  <c r="AS19" s="1"/>
  <c r="AT18"/>
  <c r="AT17"/>
  <c r="AT16"/>
  <c r="AT15"/>
  <c r="AS15" s="1"/>
  <c r="AT14"/>
  <c r="AT13"/>
  <c r="AS13" s="1"/>
  <c r="AT12"/>
  <c r="AT11"/>
  <c r="AS11" s="1"/>
  <c r="AT10"/>
  <c r="AT9"/>
  <c r="AT8"/>
  <c r="AT7"/>
  <c r="AS7" s="1"/>
  <c r="AT6"/>
  <c r="AT5"/>
  <c r="AS5" s="1"/>
  <c r="AP28"/>
  <c r="AR27"/>
  <c r="AR26"/>
  <c r="AR25"/>
  <c r="AR23"/>
  <c r="AR22"/>
  <c r="AR21"/>
  <c r="AR20"/>
  <c r="AR19"/>
  <c r="AR18"/>
  <c r="AR17"/>
  <c r="AR16"/>
  <c r="AR15"/>
  <c r="AR14"/>
  <c r="AR13"/>
  <c r="AR12"/>
  <c r="AP12" s="1"/>
  <c r="AR11"/>
  <c r="AR10"/>
  <c r="AR9"/>
  <c r="AR8"/>
  <c r="AR7"/>
  <c r="AR6"/>
  <c r="AP6" s="1"/>
  <c r="AR5"/>
  <c r="AQ27"/>
  <c r="AP27" s="1"/>
  <c r="AQ26"/>
  <c r="AQ25"/>
  <c r="AQ23"/>
  <c r="AQ22"/>
  <c r="AP22" s="1"/>
  <c r="AQ21"/>
  <c r="C67" i="5"/>
  <c r="AQ20" i="25"/>
  <c r="AO21"/>
  <c r="AO20"/>
  <c r="AQ19"/>
  <c r="AP19" s="1"/>
  <c r="AO19"/>
  <c r="AQ18"/>
  <c r="AO18"/>
  <c r="AQ17"/>
  <c r="AQ16"/>
  <c r="AQ15"/>
  <c r="AP15" s="1"/>
  <c r="AQ14"/>
  <c r="AQ13"/>
  <c r="AQ12"/>
  <c r="AQ11"/>
  <c r="AP11" s="1"/>
  <c r="AQ10"/>
  <c r="AQ9"/>
  <c r="AP9" s="1"/>
  <c r="AQ8"/>
  <c r="AQ7"/>
  <c r="AP7" s="1"/>
  <c r="AQ6"/>
  <c r="AQ5"/>
  <c r="AQ29" s="1"/>
  <c r="AN9"/>
  <c r="AO11"/>
  <c r="AO10"/>
  <c r="AO9"/>
  <c r="C67" i="15"/>
  <c r="AP16" i="25"/>
  <c r="AO27"/>
  <c r="AO26"/>
  <c r="AO25"/>
  <c r="AO23"/>
  <c r="AO22"/>
  <c r="AO17"/>
  <c r="AO16"/>
  <c r="AO15"/>
  <c r="AO14"/>
  <c r="AO13"/>
  <c r="AO12"/>
  <c r="AO8"/>
  <c r="AO7"/>
  <c r="AO6"/>
  <c r="AO5"/>
  <c r="AM11"/>
  <c r="AN27"/>
  <c r="AN26"/>
  <c r="AI26" s="1"/>
  <c r="AY26" s="1"/>
  <c r="AN25"/>
  <c r="AN23"/>
  <c r="AN22"/>
  <c r="AN21"/>
  <c r="AI21" s="1"/>
  <c r="AN20"/>
  <c r="AN19"/>
  <c r="AN18"/>
  <c r="AN17"/>
  <c r="AI17" s="1"/>
  <c r="AY17" s="1"/>
  <c r="AN16"/>
  <c r="AN15"/>
  <c r="AN14"/>
  <c r="AN13"/>
  <c r="AI13" s="1"/>
  <c r="AN12"/>
  <c r="AN11"/>
  <c r="AM10"/>
  <c r="AN8"/>
  <c r="AN7"/>
  <c r="AN6"/>
  <c r="AN29" s="1"/>
  <c r="AN5"/>
  <c r="AM27"/>
  <c r="AM26"/>
  <c r="AM25"/>
  <c r="AM23"/>
  <c r="AM22"/>
  <c r="AM21"/>
  <c r="AM20"/>
  <c r="AM19"/>
  <c r="AM18"/>
  <c r="AM17"/>
  <c r="AM16"/>
  <c r="AM15"/>
  <c r="AM14"/>
  <c r="AM13"/>
  <c r="AM12"/>
  <c r="AM9"/>
  <c r="AM8"/>
  <c r="AM7"/>
  <c r="AM6"/>
  <c r="AM5"/>
  <c r="AL27"/>
  <c r="AL26"/>
  <c r="AL25"/>
  <c r="AL23"/>
  <c r="AL22"/>
  <c r="AL29" s="1"/>
  <c r="AL21"/>
  <c r="AL20"/>
  <c r="AL19"/>
  <c r="AL18"/>
  <c r="AL17"/>
  <c r="AL16"/>
  <c r="AL15"/>
  <c r="AL14"/>
  <c r="AL13"/>
  <c r="AL12"/>
  <c r="AL11"/>
  <c r="AL10"/>
  <c r="AL9"/>
  <c r="AL8"/>
  <c r="AL7"/>
  <c r="AL6"/>
  <c r="AL5"/>
  <c r="AK27"/>
  <c r="AK26"/>
  <c r="AK25"/>
  <c r="AK23"/>
  <c r="AK22"/>
  <c r="AK21"/>
  <c r="AK20"/>
  <c r="AK19"/>
  <c r="AK18"/>
  <c r="AK17"/>
  <c r="AK16"/>
  <c r="AK15"/>
  <c r="AK14"/>
  <c r="AK13"/>
  <c r="AK12"/>
  <c r="AK11"/>
  <c r="AK10"/>
  <c r="AK9"/>
  <c r="AK8"/>
  <c r="AK7"/>
  <c r="AK6"/>
  <c r="AK29" s="1"/>
  <c r="AK5"/>
  <c r="AJ27"/>
  <c r="AI27" s="1"/>
  <c r="AJ26"/>
  <c r="AJ25"/>
  <c r="AJ23"/>
  <c r="AJ22"/>
  <c r="AI22" s="1"/>
  <c r="AJ21"/>
  <c r="AJ20"/>
  <c r="AI20" s="1"/>
  <c r="AJ19"/>
  <c r="AJ18"/>
  <c r="AJ17"/>
  <c r="AJ16"/>
  <c r="AI16" s="1"/>
  <c r="AJ15"/>
  <c r="AJ14"/>
  <c r="AJ13"/>
  <c r="AJ12"/>
  <c r="AI12" s="1"/>
  <c r="AJ11"/>
  <c r="AJ10"/>
  <c r="AJ9"/>
  <c r="AJ8"/>
  <c r="AI8" s="1"/>
  <c r="AJ7"/>
  <c r="AI7"/>
  <c r="AJ6"/>
  <c r="AJ5"/>
  <c r="AI5" s="1"/>
  <c r="AE28"/>
  <c r="AG9"/>
  <c r="AH27"/>
  <c r="AH26"/>
  <c r="AH25"/>
  <c r="AH23"/>
  <c r="AH22"/>
  <c r="AH21"/>
  <c r="AH20"/>
  <c r="AH19"/>
  <c r="AH18"/>
  <c r="AH17"/>
  <c r="AH16"/>
  <c r="AH15"/>
  <c r="AH14"/>
  <c r="AH13"/>
  <c r="AH12"/>
  <c r="AH11"/>
  <c r="AH10"/>
  <c r="AH9"/>
  <c r="AH8"/>
  <c r="AH7"/>
  <c r="AH6"/>
  <c r="AH5"/>
  <c r="AG27"/>
  <c r="AG26"/>
  <c r="AG25"/>
  <c r="AG23"/>
  <c r="AG22"/>
  <c r="AG21"/>
  <c r="AG20"/>
  <c r="AG19"/>
  <c r="AG18"/>
  <c r="AG17"/>
  <c r="AG16"/>
  <c r="AG15"/>
  <c r="AG14"/>
  <c r="AG13"/>
  <c r="AG11"/>
  <c r="AG10"/>
  <c r="AG8"/>
  <c r="AG7"/>
  <c r="AG6"/>
  <c r="AG5"/>
  <c r="AF27"/>
  <c r="AF26"/>
  <c r="AE26" s="1"/>
  <c r="AF25"/>
  <c r="AF23"/>
  <c r="AE23" s="1"/>
  <c r="AF22"/>
  <c r="AE22" s="1"/>
  <c r="AF21"/>
  <c r="AF20"/>
  <c r="AF19"/>
  <c r="AE19" s="1"/>
  <c r="AF18"/>
  <c r="AE18" s="1"/>
  <c r="AF17"/>
  <c r="AF16"/>
  <c r="AF15"/>
  <c r="AE15" s="1"/>
  <c r="AF14"/>
  <c r="AE14" s="1"/>
  <c r="AF13"/>
  <c r="AF12"/>
  <c r="AF11"/>
  <c r="AF10"/>
  <c r="AF9"/>
  <c r="AE9" s="1"/>
  <c r="AF8"/>
  <c r="AF7"/>
  <c r="AF6"/>
  <c r="AE6" s="1"/>
  <c r="AF5"/>
  <c r="AE5" s="1"/>
  <c r="AC27"/>
  <c r="AC26"/>
  <c r="AC25"/>
  <c r="AC23"/>
  <c r="AC22"/>
  <c r="AC21"/>
  <c r="AC20"/>
  <c r="AC19"/>
  <c r="AC18"/>
  <c r="AC17"/>
  <c r="AC16"/>
  <c r="AC15"/>
  <c r="AC14"/>
  <c r="AC13"/>
  <c r="AC12"/>
  <c r="AC11"/>
  <c r="AC10"/>
  <c r="AC9"/>
  <c r="AC8"/>
  <c r="AC7"/>
  <c r="AC6"/>
  <c r="AC5"/>
  <c r="AB28"/>
  <c r="AD28"/>
  <c r="BO28" s="1"/>
  <c r="BQ28" s="1"/>
  <c r="AA27"/>
  <c r="AA26"/>
  <c r="AA25"/>
  <c r="AA23"/>
  <c r="AA22"/>
  <c r="AA21"/>
  <c r="AA20"/>
  <c r="AA19"/>
  <c r="AA18"/>
  <c r="AA17"/>
  <c r="AA16"/>
  <c r="AA15"/>
  <c r="AA14"/>
  <c r="AA13"/>
  <c r="AA12"/>
  <c r="AA11"/>
  <c r="AA10"/>
  <c r="AA9"/>
  <c r="AA8"/>
  <c r="AA7"/>
  <c r="AA6"/>
  <c r="AA5"/>
  <c r="Z27"/>
  <c r="Z26"/>
  <c r="Z25"/>
  <c r="Z23"/>
  <c r="Z22"/>
  <c r="Z21"/>
  <c r="Z20"/>
  <c r="Z19"/>
  <c r="Z18"/>
  <c r="Z17"/>
  <c r="Z16"/>
  <c r="Z15"/>
  <c r="Z14"/>
  <c r="Z13"/>
  <c r="Z12"/>
  <c r="Z11"/>
  <c r="Z10"/>
  <c r="Z9"/>
  <c r="Z8"/>
  <c r="Z7"/>
  <c r="Z6"/>
  <c r="Z5"/>
  <c r="Y27"/>
  <c r="Y26"/>
  <c r="Y25"/>
  <c r="Y23"/>
  <c r="Y22"/>
  <c r="Y21"/>
  <c r="Y20"/>
  <c r="Y19"/>
  <c r="Y18"/>
  <c r="Y17"/>
  <c r="Y16"/>
  <c r="Y15"/>
  <c r="Y14"/>
  <c r="Y13"/>
  <c r="Y12"/>
  <c r="Y11"/>
  <c r="Y10"/>
  <c r="Y9"/>
  <c r="Y8"/>
  <c r="Y7"/>
  <c r="Y6"/>
  <c r="Y5"/>
  <c r="Y29" s="1"/>
  <c r="X27"/>
  <c r="X26"/>
  <c r="X25"/>
  <c r="X23"/>
  <c r="X21"/>
  <c r="X20"/>
  <c r="X19"/>
  <c r="X18"/>
  <c r="C48" i="15"/>
  <c r="X17" i="25"/>
  <c r="X16"/>
  <c r="X15"/>
  <c r="X14"/>
  <c r="X13"/>
  <c r="X12"/>
  <c r="X11"/>
  <c r="X10"/>
  <c r="X9"/>
  <c r="X8"/>
  <c r="X7"/>
  <c r="X6"/>
  <c r="X5"/>
  <c r="W27"/>
  <c r="W26"/>
  <c r="W25"/>
  <c r="W23"/>
  <c r="W22"/>
  <c r="W21"/>
  <c r="W20"/>
  <c r="W19"/>
  <c r="W18"/>
  <c r="W17"/>
  <c r="W16"/>
  <c r="W15"/>
  <c r="W14"/>
  <c r="W13"/>
  <c r="W12"/>
  <c r="W11"/>
  <c r="W10"/>
  <c r="W9"/>
  <c r="W8"/>
  <c r="W7"/>
  <c r="W6"/>
  <c r="W5"/>
  <c r="V27"/>
  <c r="V26"/>
  <c r="V25"/>
  <c r="V23"/>
  <c r="V22"/>
  <c r="V21"/>
  <c r="V20"/>
  <c r="V19"/>
  <c r="V18"/>
  <c r="V17"/>
  <c r="V16"/>
  <c r="V15"/>
  <c r="V14"/>
  <c r="V13"/>
  <c r="V12"/>
  <c r="V11"/>
  <c r="V10"/>
  <c r="V9"/>
  <c r="V8"/>
  <c r="V7"/>
  <c r="V6"/>
  <c r="V5"/>
  <c r="U27"/>
  <c r="U26"/>
  <c r="U25"/>
  <c r="U23"/>
  <c r="U22"/>
  <c r="U21"/>
  <c r="U20"/>
  <c r="U19"/>
  <c r="U18"/>
  <c r="U17"/>
  <c r="U16"/>
  <c r="U15"/>
  <c r="U14"/>
  <c r="U13"/>
  <c r="U12"/>
  <c r="U11"/>
  <c r="U10"/>
  <c r="U9"/>
  <c r="U8"/>
  <c r="U7"/>
  <c r="U6"/>
  <c r="U5"/>
  <c r="T27"/>
  <c r="T26"/>
  <c r="T25"/>
  <c r="T23"/>
  <c r="T21"/>
  <c r="T20"/>
  <c r="T19"/>
  <c r="T18"/>
  <c r="C44" i="15"/>
  <c r="T17" i="25"/>
  <c r="T16"/>
  <c r="T15"/>
  <c r="T14"/>
  <c r="T13"/>
  <c r="T12"/>
  <c r="T11"/>
  <c r="T10"/>
  <c r="T9"/>
  <c r="T8"/>
  <c r="T7"/>
  <c r="T6"/>
  <c r="T5"/>
  <c r="S27"/>
  <c r="S26"/>
  <c r="S25"/>
  <c r="S23"/>
  <c r="C26" i="5"/>
  <c r="G22" i="25" s="1"/>
  <c r="C31" i="5"/>
  <c r="S21" i="25"/>
  <c r="S20"/>
  <c r="S19"/>
  <c r="S18"/>
  <c r="C26" i="15"/>
  <c r="C31"/>
  <c r="C39"/>
  <c r="S17" i="25"/>
  <c r="S16"/>
  <c r="S15"/>
  <c r="S14"/>
  <c r="S13"/>
  <c r="S12"/>
  <c r="S11"/>
  <c r="S10"/>
  <c r="S9"/>
  <c r="S8"/>
  <c r="S7"/>
  <c r="S6"/>
  <c r="S5"/>
  <c r="R27"/>
  <c r="R26"/>
  <c r="R25"/>
  <c r="R23"/>
  <c r="R22"/>
  <c r="R21"/>
  <c r="R20"/>
  <c r="R19"/>
  <c r="R18"/>
  <c r="R17"/>
  <c r="R16"/>
  <c r="R15"/>
  <c r="R14"/>
  <c r="R13"/>
  <c r="R12"/>
  <c r="R11"/>
  <c r="R10"/>
  <c r="R9"/>
  <c r="R8"/>
  <c r="R7"/>
  <c r="R6"/>
  <c r="R5"/>
  <c r="Q27"/>
  <c r="Q26"/>
  <c r="Q25"/>
  <c r="Q23"/>
  <c r="Q22"/>
  <c r="Q21"/>
  <c r="Q20"/>
  <c r="Q19"/>
  <c r="Q18"/>
  <c r="Q17"/>
  <c r="Q16"/>
  <c r="Q15"/>
  <c r="Q14"/>
  <c r="Q13"/>
  <c r="Q12"/>
  <c r="Q11"/>
  <c r="Q10"/>
  <c r="Q9"/>
  <c r="Q8"/>
  <c r="Q7"/>
  <c r="Q6"/>
  <c r="Q5"/>
  <c r="P27"/>
  <c r="P26"/>
  <c r="P25"/>
  <c r="P23"/>
  <c r="P22"/>
  <c r="P21"/>
  <c r="P20"/>
  <c r="O27"/>
  <c r="O26"/>
  <c r="O25"/>
  <c r="O23"/>
  <c r="O22"/>
  <c r="O21"/>
  <c r="O20"/>
  <c r="O5"/>
  <c r="P19"/>
  <c r="P18"/>
  <c r="P17"/>
  <c r="P16"/>
  <c r="P15"/>
  <c r="P14"/>
  <c r="P13"/>
  <c r="P12"/>
  <c r="P11"/>
  <c r="P10"/>
  <c r="P9"/>
  <c r="P8"/>
  <c r="P7"/>
  <c r="P6"/>
  <c r="P5"/>
  <c r="O19"/>
  <c r="O18"/>
  <c r="O17"/>
  <c r="O16"/>
  <c r="O15"/>
  <c r="O14"/>
  <c r="O13"/>
  <c r="O12"/>
  <c r="O11"/>
  <c r="O10"/>
  <c r="O9"/>
  <c r="O8"/>
  <c r="O7"/>
  <c r="O6"/>
  <c r="O29" s="1"/>
  <c r="N27"/>
  <c r="N26"/>
  <c r="N25"/>
  <c r="N23"/>
  <c r="N22"/>
  <c r="N21"/>
  <c r="N20"/>
  <c r="N19"/>
  <c r="N18"/>
  <c r="N17"/>
  <c r="N16"/>
  <c r="N15"/>
  <c r="N14"/>
  <c r="N13"/>
  <c r="N12"/>
  <c r="N11"/>
  <c r="N10"/>
  <c r="N9"/>
  <c r="N8"/>
  <c r="N7"/>
  <c r="N6"/>
  <c r="N5"/>
  <c r="L6"/>
  <c r="M27"/>
  <c r="M26"/>
  <c r="M25"/>
  <c r="M23"/>
  <c r="M22"/>
  <c r="M21"/>
  <c r="M20"/>
  <c r="M19"/>
  <c r="M18"/>
  <c r="M17"/>
  <c r="M16"/>
  <c r="M15"/>
  <c r="M14"/>
  <c r="M13"/>
  <c r="M12"/>
  <c r="M11"/>
  <c r="M10"/>
  <c r="M9"/>
  <c r="M8"/>
  <c r="M7"/>
  <c r="M6"/>
  <c r="M5"/>
  <c r="L27"/>
  <c r="L26"/>
  <c r="L25"/>
  <c r="L23"/>
  <c r="L22"/>
  <c r="L21"/>
  <c r="L20"/>
  <c r="L19"/>
  <c r="L18"/>
  <c r="L17"/>
  <c r="L16"/>
  <c r="L15"/>
  <c r="L14"/>
  <c r="L13"/>
  <c r="L12"/>
  <c r="L11"/>
  <c r="L10"/>
  <c r="L9"/>
  <c r="L8"/>
  <c r="L7"/>
  <c r="L5"/>
  <c r="K27"/>
  <c r="K26"/>
  <c r="K25"/>
  <c r="K23"/>
  <c r="K22"/>
  <c r="K21"/>
  <c r="K20"/>
  <c r="K19"/>
  <c r="K18"/>
  <c r="K17"/>
  <c r="K16"/>
  <c r="K15"/>
  <c r="K14"/>
  <c r="K13"/>
  <c r="K12"/>
  <c r="K11"/>
  <c r="K10"/>
  <c r="K9"/>
  <c r="K8"/>
  <c r="J27"/>
  <c r="J26"/>
  <c r="J25"/>
  <c r="J23"/>
  <c r="J22"/>
  <c r="J21"/>
  <c r="J20"/>
  <c r="J19"/>
  <c r="J18"/>
  <c r="J17"/>
  <c r="J16"/>
  <c r="J15"/>
  <c r="J14"/>
  <c r="J13"/>
  <c r="J12"/>
  <c r="J11"/>
  <c r="J10"/>
  <c r="J9"/>
  <c r="J8"/>
  <c r="I27"/>
  <c r="I26"/>
  <c r="I25"/>
  <c r="I23"/>
  <c r="I22"/>
  <c r="I21"/>
  <c r="I20"/>
  <c r="I19"/>
  <c r="I18"/>
  <c r="I17"/>
  <c r="I16"/>
  <c r="I15"/>
  <c r="I14"/>
  <c r="I13"/>
  <c r="I12"/>
  <c r="I11"/>
  <c r="I10"/>
  <c r="I9"/>
  <c r="I8"/>
  <c r="K7"/>
  <c r="J7"/>
  <c r="I7"/>
  <c r="K6"/>
  <c r="J6"/>
  <c r="I6"/>
  <c r="I5"/>
  <c r="K5"/>
  <c r="J5"/>
  <c r="H16"/>
  <c r="H5"/>
  <c r="G5"/>
  <c r="F5"/>
  <c r="E5"/>
  <c r="D5"/>
  <c r="C5"/>
  <c r="B5"/>
  <c r="H27"/>
  <c r="G27"/>
  <c r="F27"/>
  <c r="E27"/>
  <c r="D27"/>
  <c r="C27"/>
  <c r="B27"/>
  <c r="H26"/>
  <c r="G26"/>
  <c r="F26"/>
  <c r="E26"/>
  <c r="D26"/>
  <c r="C26"/>
  <c r="B26"/>
  <c r="H25"/>
  <c r="G25"/>
  <c r="F25"/>
  <c r="E25"/>
  <c r="D25"/>
  <c r="C25"/>
  <c r="B25"/>
  <c r="G24"/>
  <c r="F24"/>
  <c r="E24"/>
  <c r="D24"/>
  <c r="C24"/>
  <c r="B24"/>
  <c r="H23"/>
  <c r="G23"/>
  <c r="F23"/>
  <c r="E23"/>
  <c r="D23"/>
  <c r="C23"/>
  <c r="B23"/>
  <c r="H22"/>
  <c r="F22"/>
  <c r="E22"/>
  <c r="D22"/>
  <c r="C22"/>
  <c r="B22"/>
  <c r="H21"/>
  <c r="G21"/>
  <c r="F21"/>
  <c r="E21"/>
  <c r="D21"/>
  <c r="C21"/>
  <c r="B21"/>
  <c r="K3"/>
  <c r="J3"/>
  <c r="I3"/>
  <c r="H3"/>
  <c r="G3"/>
  <c r="F3"/>
  <c r="E3"/>
  <c r="D3"/>
  <c r="C3"/>
  <c r="B3"/>
  <c r="H20"/>
  <c r="H19"/>
  <c r="H18"/>
  <c r="H17"/>
  <c r="H15"/>
  <c r="H14"/>
  <c r="H13"/>
  <c r="H12"/>
  <c r="H11"/>
  <c r="H10"/>
  <c r="H9"/>
  <c r="H8"/>
  <c r="H7"/>
  <c r="H6"/>
  <c r="G20"/>
  <c r="G19"/>
  <c r="G18"/>
  <c r="G17"/>
  <c r="G16"/>
  <c r="G15"/>
  <c r="G14"/>
  <c r="G13"/>
  <c r="G12"/>
  <c r="G11"/>
  <c r="G10"/>
  <c r="G9"/>
  <c r="G8"/>
  <c r="G7"/>
  <c r="G6"/>
  <c r="F20"/>
  <c r="E20"/>
  <c r="D20"/>
  <c r="C20"/>
  <c r="B20"/>
  <c r="F19"/>
  <c r="E19"/>
  <c r="D19"/>
  <c r="C19"/>
  <c r="B19"/>
  <c r="F18"/>
  <c r="E18"/>
  <c r="D18"/>
  <c r="C18"/>
  <c r="B18"/>
  <c r="F17"/>
  <c r="E17"/>
  <c r="D17"/>
  <c r="C17"/>
  <c r="B17"/>
  <c r="F16"/>
  <c r="E16"/>
  <c r="D16"/>
  <c r="C16"/>
  <c r="B16"/>
  <c r="F15"/>
  <c r="E15"/>
  <c r="D15"/>
  <c r="C15"/>
  <c r="B15"/>
  <c r="F14"/>
  <c r="E14"/>
  <c r="D14"/>
  <c r="C14"/>
  <c r="B14"/>
  <c r="F13"/>
  <c r="E13"/>
  <c r="D13"/>
  <c r="C13"/>
  <c r="B13"/>
  <c r="F12"/>
  <c r="E12"/>
  <c r="D12"/>
  <c r="C12"/>
  <c r="B12"/>
  <c r="C7"/>
  <c r="F11"/>
  <c r="E11"/>
  <c r="D11"/>
  <c r="C11"/>
  <c r="B11"/>
  <c r="D7"/>
  <c r="F7"/>
  <c r="E7"/>
  <c r="B7"/>
  <c r="F6"/>
  <c r="E6"/>
  <c r="E29" s="1"/>
  <c r="D6"/>
  <c r="C6"/>
  <c r="B6"/>
  <c r="F9"/>
  <c r="E9"/>
  <c r="D9"/>
  <c r="C9"/>
  <c r="B9"/>
  <c r="F10"/>
  <c r="E10"/>
  <c r="D10"/>
  <c r="C10"/>
  <c r="B10"/>
  <c r="B8"/>
  <c r="C8"/>
  <c r="F245" i="26"/>
  <c r="E245"/>
  <c r="D245"/>
  <c r="C245"/>
  <c r="G245"/>
  <c r="E211"/>
  <c r="D211"/>
  <c r="E198"/>
  <c r="D198"/>
  <c r="C198"/>
  <c r="E194"/>
  <c r="D194"/>
  <c r="C194"/>
  <c r="C187"/>
  <c r="C183"/>
  <c r="C175"/>
  <c r="C171"/>
  <c r="C163"/>
  <c r="C159"/>
  <c r="C155"/>
  <c r="C147"/>
  <c r="E133"/>
  <c r="D133"/>
  <c r="C133"/>
  <c r="E125"/>
  <c r="D125"/>
  <c r="C125"/>
  <c r="E119"/>
  <c r="D119"/>
  <c r="C119"/>
  <c r="E116"/>
  <c r="D116"/>
  <c r="C116"/>
  <c r="C115"/>
  <c r="E115"/>
  <c r="D115"/>
  <c r="E111"/>
  <c r="D111"/>
  <c r="C111"/>
  <c r="D103"/>
  <c r="C103"/>
  <c r="C87"/>
  <c r="C80"/>
  <c r="C70"/>
  <c r="C67"/>
  <c r="C62"/>
  <c r="C61"/>
  <c r="C60"/>
  <c r="C57"/>
  <c r="C56"/>
  <c r="C76"/>
  <c r="C48"/>
  <c r="C44"/>
  <c r="C53"/>
  <c r="C95"/>
  <c r="C97"/>
  <c r="C31"/>
  <c r="C26"/>
  <c r="C39"/>
  <c r="F8" i="25"/>
  <c r="E8"/>
  <c r="D8"/>
  <c r="G251" i="24"/>
  <c r="G249"/>
  <c r="G248"/>
  <c r="G246"/>
  <c r="F245"/>
  <c r="E245"/>
  <c r="D245"/>
  <c r="C245"/>
  <c r="G245"/>
  <c r="E211"/>
  <c r="D211"/>
  <c r="C211"/>
  <c r="E198"/>
  <c r="D198"/>
  <c r="E194"/>
  <c r="D194"/>
  <c r="C187"/>
  <c r="C183"/>
  <c r="C175"/>
  <c r="C171"/>
  <c r="C155"/>
  <c r="C147"/>
  <c r="E133"/>
  <c r="D133"/>
  <c r="C133"/>
  <c r="E125"/>
  <c r="D125"/>
  <c r="C125"/>
  <c r="D119"/>
  <c r="D116"/>
  <c r="D115"/>
  <c r="E111"/>
  <c r="D111"/>
  <c r="C87"/>
  <c r="C80"/>
  <c r="C70"/>
  <c r="C67"/>
  <c r="C56"/>
  <c r="C76"/>
  <c r="C95"/>
  <c r="C97"/>
  <c r="C53"/>
  <c r="C39"/>
  <c r="C26"/>
  <c r="F245" i="23"/>
  <c r="E245"/>
  <c r="D245"/>
  <c r="C245"/>
  <c r="G245"/>
  <c r="D198"/>
  <c r="E194"/>
  <c r="C163"/>
  <c r="C159"/>
  <c r="C155"/>
  <c r="C147"/>
  <c r="E125"/>
  <c r="D125"/>
  <c r="C125"/>
  <c r="C87"/>
  <c r="C80"/>
  <c r="C67"/>
  <c r="C60"/>
  <c r="C76"/>
  <c r="C48"/>
  <c r="C53"/>
  <c r="C95"/>
  <c r="C31"/>
  <c r="C26"/>
  <c r="C39"/>
  <c r="CZ29" i="25"/>
  <c r="CK14"/>
  <c r="BG14"/>
  <c r="BR8"/>
  <c r="BR12"/>
  <c r="BR16"/>
  <c r="BR20"/>
  <c r="BR26"/>
  <c r="BZ6"/>
  <c r="BZ8"/>
  <c r="BZ10"/>
  <c r="BZ12"/>
  <c r="BZ14"/>
  <c r="BZ16"/>
  <c r="BZ18"/>
  <c r="BZ20"/>
  <c r="BZ24"/>
  <c r="BZ26"/>
  <c r="CD5"/>
  <c r="CD7"/>
  <c r="CD9"/>
  <c r="CC9" s="1"/>
  <c r="CD11"/>
  <c r="CD13"/>
  <c r="CD15"/>
  <c r="CD17"/>
  <c r="CG6"/>
  <c r="CG7"/>
  <c r="CG9"/>
  <c r="CG11"/>
  <c r="CG13"/>
  <c r="CG15"/>
  <c r="CG17"/>
  <c r="CG19"/>
  <c r="CG21"/>
  <c r="CG23"/>
  <c r="CG25"/>
  <c r="BR5"/>
  <c r="BR9"/>
  <c r="BR13"/>
  <c r="BR17"/>
  <c r="BR21"/>
  <c r="BR23"/>
  <c r="BR25"/>
  <c r="BR27"/>
  <c r="CD19"/>
  <c r="CC19" s="1"/>
  <c r="CD21"/>
  <c r="CD23"/>
  <c r="CC23" s="1"/>
  <c r="CD25"/>
  <c r="CD27"/>
  <c r="CC27" s="1"/>
  <c r="CG27"/>
  <c r="CG26"/>
  <c r="CC26" s="1"/>
  <c r="CG5"/>
  <c r="CI29"/>
  <c r="CF29"/>
  <c r="CB29"/>
  <c r="AP25"/>
  <c r="AS10"/>
  <c r="AS18"/>
  <c r="AS27"/>
  <c r="AZ9"/>
  <c r="AZ17"/>
  <c r="AZ25"/>
  <c r="BG11"/>
  <c r="BG19"/>
  <c r="BG25"/>
  <c r="BG27"/>
  <c r="BG18"/>
  <c r="BG22"/>
  <c r="AP5"/>
  <c r="AP13"/>
  <c r="AP21"/>
  <c r="AY28"/>
  <c r="AI25"/>
  <c r="AP18"/>
  <c r="AP23"/>
  <c r="AP26"/>
  <c r="AS9"/>
  <c r="AS17"/>
  <c r="AS26"/>
  <c r="AZ6"/>
  <c r="AZ8"/>
  <c r="AZ16"/>
  <c r="BY29"/>
  <c r="AP17"/>
  <c r="BW29"/>
  <c r="BT29"/>
  <c r="BM29"/>
  <c r="AU29"/>
  <c r="AE8"/>
  <c r="AE12"/>
  <c r="AE16"/>
  <c r="AE20"/>
  <c r="AI9"/>
  <c r="AI15"/>
  <c r="AI19"/>
  <c r="AI23"/>
  <c r="BB29"/>
  <c r="AE7"/>
  <c r="AE13"/>
  <c r="AE17"/>
  <c r="AE21"/>
  <c r="AE25"/>
  <c r="AE27"/>
  <c r="AI6"/>
  <c r="AI10"/>
  <c r="AI14"/>
  <c r="AI18"/>
  <c r="AG29"/>
  <c r="AO29"/>
  <c r="AA29"/>
  <c r="W29"/>
  <c r="H29"/>
  <c r="V29"/>
  <c r="Q29"/>
  <c r="M29"/>
  <c r="G251" i="22"/>
  <c r="G250"/>
  <c r="G249"/>
  <c r="G248"/>
  <c r="G247"/>
  <c r="G246"/>
  <c r="G245"/>
  <c r="D198"/>
  <c r="C198"/>
  <c r="D194"/>
  <c r="C171"/>
  <c r="C147"/>
  <c r="D125"/>
  <c r="C125"/>
  <c r="D119"/>
  <c r="C119"/>
  <c r="D116"/>
  <c r="C116"/>
  <c r="D115"/>
  <c r="C115"/>
  <c r="C111"/>
  <c r="D104"/>
  <c r="C104"/>
  <c r="C103"/>
  <c r="C87"/>
  <c r="C80"/>
  <c r="C67"/>
  <c r="C60"/>
  <c r="C56"/>
  <c r="C76"/>
  <c r="C52"/>
  <c r="C48"/>
  <c r="C44"/>
  <c r="C53"/>
  <c r="C95"/>
  <c r="C97"/>
  <c r="C31"/>
  <c r="C26"/>
  <c r="C39"/>
  <c r="CC25" i="25"/>
  <c r="CC21"/>
  <c r="CC17"/>
  <c r="CC11"/>
  <c r="G251" i="21"/>
  <c r="F245"/>
  <c r="E245"/>
  <c r="D245"/>
  <c r="C245"/>
  <c r="G245"/>
  <c r="E198"/>
  <c r="D198"/>
  <c r="C198"/>
  <c r="D194"/>
  <c r="C194"/>
  <c r="C175"/>
  <c r="C171"/>
  <c r="C163"/>
  <c r="C159"/>
  <c r="C155"/>
  <c r="C147"/>
  <c r="D125"/>
  <c r="C125"/>
  <c r="D119"/>
  <c r="C119"/>
  <c r="D116"/>
  <c r="C116"/>
  <c r="D115"/>
  <c r="C115"/>
  <c r="C111"/>
  <c r="D103"/>
  <c r="C103"/>
  <c r="C87"/>
  <c r="C80"/>
  <c r="C70"/>
  <c r="C67"/>
  <c r="C60"/>
  <c r="C56"/>
  <c r="C76"/>
  <c r="C48"/>
  <c r="C44"/>
  <c r="C53"/>
  <c r="C31"/>
  <c r="C26"/>
  <c r="C39"/>
  <c r="C95"/>
  <c r="C97"/>
  <c r="F245" i="20"/>
  <c r="E245"/>
  <c r="D245"/>
  <c r="C245"/>
  <c r="G245"/>
  <c r="E211"/>
  <c r="C187"/>
  <c r="C183"/>
  <c r="C175"/>
  <c r="C171"/>
  <c r="C163"/>
  <c r="C159"/>
  <c r="C155"/>
  <c r="C147"/>
  <c r="C125"/>
  <c r="C111"/>
  <c r="C104"/>
  <c r="D103"/>
  <c r="C103"/>
  <c r="C87"/>
  <c r="C80"/>
  <c r="C67"/>
  <c r="C60"/>
  <c r="C56"/>
  <c r="C48"/>
  <c r="C53"/>
  <c r="C95"/>
  <c r="C97"/>
  <c r="C26"/>
  <c r="C39"/>
  <c r="F245" i="19"/>
  <c r="E245"/>
  <c r="D245"/>
  <c r="C245"/>
  <c r="G245"/>
  <c r="E198"/>
  <c r="D198"/>
  <c r="E194"/>
  <c r="D194"/>
  <c r="C194"/>
  <c r="C187"/>
  <c r="C183"/>
  <c r="C175"/>
  <c r="C171"/>
  <c r="C155"/>
  <c r="C147"/>
  <c r="D125"/>
  <c r="C125"/>
  <c r="E119"/>
  <c r="D119"/>
  <c r="C119"/>
  <c r="D116"/>
  <c r="C116"/>
  <c r="D115"/>
  <c r="C115"/>
  <c r="C111"/>
  <c r="C104"/>
  <c r="C103"/>
  <c r="C80"/>
  <c r="C67"/>
  <c r="C60"/>
  <c r="C48"/>
  <c r="C44"/>
  <c r="C53"/>
  <c r="C95"/>
  <c r="C97"/>
  <c r="C31"/>
  <c r="C26"/>
  <c r="C39"/>
  <c r="D251" i="18"/>
  <c r="C251"/>
  <c r="G251"/>
  <c r="F250"/>
  <c r="G250"/>
  <c r="F249"/>
  <c r="E249"/>
  <c r="D249"/>
  <c r="C249"/>
  <c r="G249"/>
  <c r="F248"/>
  <c r="E248"/>
  <c r="D248"/>
  <c r="C248"/>
  <c r="G248"/>
  <c r="C247"/>
  <c r="G247"/>
  <c r="F246"/>
  <c r="F245"/>
  <c r="E246"/>
  <c r="D246"/>
  <c r="D245"/>
  <c r="C246"/>
  <c r="G246"/>
  <c r="E245"/>
  <c r="C245"/>
  <c r="C235"/>
  <c r="C234"/>
  <c r="C232"/>
  <c r="C230"/>
  <c r="E226"/>
  <c r="E224"/>
  <c r="E222"/>
  <c r="E220"/>
  <c r="D220"/>
  <c r="E218"/>
  <c r="E216"/>
  <c r="E214"/>
  <c r="E212"/>
  <c r="E211"/>
  <c r="D211"/>
  <c r="C211"/>
  <c r="C206"/>
  <c r="C205"/>
  <c r="C199"/>
  <c r="E198"/>
  <c r="D198"/>
  <c r="C198"/>
  <c r="C197"/>
  <c r="C195"/>
  <c r="E194"/>
  <c r="D194"/>
  <c r="C194"/>
  <c r="C187"/>
  <c r="C183"/>
  <c r="C175"/>
  <c r="C171"/>
  <c r="C166"/>
  <c r="C164"/>
  <c r="C163"/>
  <c r="C161"/>
  <c r="C160"/>
  <c r="C158"/>
  <c r="C156"/>
  <c r="C155"/>
  <c r="C148"/>
  <c r="C147"/>
  <c r="C142"/>
  <c r="E136"/>
  <c r="E135"/>
  <c r="D134"/>
  <c r="C134"/>
  <c r="E134"/>
  <c r="E133"/>
  <c r="D133"/>
  <c r="C132"/>
  <c r="E131"/>
  <c r="E130"/>
  <c r="E127"/>
  <c r="C127"/>
  <c r="E126"/>
  <c r="E125"/>
  <c r="D125"/>
  <c r="C125"/>
  <c r="E122"/>
  <c r="E120"/>
  <c r="E119"/>
  <c r="D119"/>
  <c r="C119"/>
  <c r="E117"/>
  <c r="D117"/>
  <c r="E116"/>
  <c r="E115"/>
  <c r="D116"/>
  <c r="C116"/>
  <c r="C115"/>
  <c r="D115"/>
  <c r="E113"/>
  <c r="E112"/>
  <c r="E111"/>
  <c r="D111"/>
  <c r="C111"/>
  <c r="E110"/>
  <c r="C110"/>
  <c r="E108"/>
  <c r="C108"/>
  <c r="E107"/>
  <c r="D107"/>
  <c r="C107"/>
  <c r="C106"/>
  <c r="D105"/>
  <c r="C105"/>
  <c r="D104"/>
  <c r="C104"/>
  <c r="E104"/>
  <c r="E103"/>
  <c r="D103"/>
  <c r="C103"/>
  <c r="C87"/>
  <c r="C86"/>
  <c r="C85"/>
  <c r="C83"/>
  <c r="C81"/>
  <c r="C80"/>
  <c r="C70"/>
  <c r="C69"/>
  <c r="C67"/>
  <c r="C64"/>
  <c r="C61"/>
  <c r="C60"/>
  <c r="C57"/>
  <c r="C56"/>
  <c r="C76"/>
  <c r="C52"/>
  <c r="C49"/>
  <c r="C48"/>
  <c r="C45"/>
  <c r="C44"/>
  <c r="C37"/>
  <c r="C32"/>
  <c r="C31"/>
  <c r="C27"/>
  <c r="C26"/>
  <c r="C39"/>
  <c r="C53"/>
  <c r="C95"/>
  <c r="C97"/>
  <c r="G245"/>
  <c r="C133"/>
  <c r="G249" i="17"/>
  <c r="G248"/>
  <c r="G247"/>
  <c r="G246"/>
  <c r="F245"/>
  <c r="E245"/>
  <c r="D245"/>
  <c r="C245"/>
  <c r="G245"/>
  <c r="E211"/>
  <c r="E198"/>
  <c r="D198"/>
  <c r="C198"/>
  <c r="E194"/>
  <c r="D194"/>
  <c r="C194"/>
  <c r="C187"/>
  <c r="C183"/>
  <c r="C175"/>
  <c r="C171"/>
  <c r="C163"/>
  <c r="C159"/>
  <c r="C155"/>
  <c r="C147"/>
  <c r="D125"/>
  <c r="C125"/>
  <c r="D119"/>
  <c r="C119"/>
  <c r="D116"/>
  <c r="C116"/>
  <c r="D115"/>
  <c r="C115"/>
  <c r="C111"/>
  <c r="D104"/>
  <c r="C104"/>
  <c r="D103"/>
  <c r="C103"/>
  <c r="C87"/>
  <c r="C80"/>
  <c r="C70"/>
  <c r="C67"/>
  <c r="C60"/>
  <c r="C56"/>
  <c r="C76"/>
  <c r="C48"/>
  <c r="C44"/>
  <c r="C53"/>
  <c r="C95"/>
  <c r="C97"/>
  <c r="C31"/>
  <c r="C26"/>
  <c r="C39"/>
  <c r="G251" i="16"/>
  <c r="G250"/>
  <c r="G249"/>
  <c r="G248"/>
  <c r="G247"/>
  <c r="G246"/>
  <c r="F245"/>
  <c r="E245"/>
  <c r="D245"/>
  <c r="C245"/>
  <c r="G245"/>
  <c r="E211"/>
  <c r="D211"/>
  <c r="C211"/>
  <c r="E198"/>
  <c r="D198"/>
  <c r="C198"/>
  <c r="E194"/>
  <c r="D194"/>
  <c r="C194"/>
  <c r="C187"/>
  <c r="C183"/>
  <c r="C175"/>
  <c r="C171"/>
  <c r="C163"/>
  <c r="C159"/>
  <c r="C155"/>
  <c r="C147"/>
  <c r="E133"/>
  <c r="D133"/>
  <c r="C133"/>
  <c r="E125"/>
  <c r="D125"/>
  <c r="C125"/>
  <c r="E119"/>
  <c r="D119"/>
  <c r="C119"/>
  <c r="E116"/>
  <c r="E115"/>
  <c r="D116"/>
  <c r="C116"/>
  <c r="C115"/>
  <c r="D115"/>
  <c r="D103"/>
  <c r="C103"/>
  <c r="C89"/>
  <c r="C87"/>
  <c r="C80"/>
  <c r="C70"/>
  <c r="C67"/>
  <c r="C60"/>
  <c r="C56"/>
  <c r="C76"/>
  <c r="C48"/>
  <c r="C44"/>
  <c r="C53"/>
  <c r="C33"/>
  <c r="C31"/>
  <c r="C26"/>
  <c r="C39"/>
  <c r="C95"/>
  <c r="C97"/>
  <c r="E125" i="15"/>
  <c r="C125"/>
  <c r="E116"/>
  <c r="C116"/>
  <c r="E111"/>
  <c r="C111"/>
  <c r="C103"/>
  <c r="C80"/>
  <c r="C70"/>
  <c r="C60"/>
  <c r="C56"/>
  <c r="C76"/>
  <c r="C53"/>
  <c r="C95"/>
  <c r="C97"/>
  <c r="F245" i="14"/>
  <c r="E245"/>
  <c r="D245"/>
  <c r="C245"/>
  <c r="G245"/>
  <c r="E198"/>
  <c r="D198"/>
  <c r="C198"/>
  <c r="E194"/>
  <c r="D194"/>
  <c r="C194"/>
  <c r="C187"/>
  <c r="C183"/>
  <c r="C175"/>
  <c r="C171"/>
  <c r="C163"/>
  <c r="C159"/>
  <c r="C155"/>
  <c r="C147"/>
  <c r="D125"/>
  <c r="C125"/>
  <c r="E119"/>
  <c r="E115"/>
  <c r="D119"/>
  <c r="C119"/>
  <c r="D116"/>
  <c r="C116"/>
  <c r="C115"/>
  <c r="D115"/>
  <c r="D104"/>
  <c r="D103"/>
  <c r="C103"/>
  <c r="C87"/>
  <c r="C80"/>
  <c r="C67"/>
  <c r="C60"/>
  <c r="C56"/>
  <c r="C76"/>
  <c r="C48"/>
  <c r="C44"/>
  <c r="C53"/>
  <c r="C95"/>
  <c r="C97"/>
  <c r="C31"/>
  <c r="C26"/>
  <c r="C39"/>
  <c r="F245" i="13"/>
  <c r="E245"/>
  <c r="D245"/>
  <c r="C245"/>
  <c r="G245"/>
  <c r="E198"/>
  <c r="D198"/>
  <c r="E194"/>
  <c r="D194"/>
  <c r="C187"/>
  <c r="C183"/>
  <c r="C175"/>
  <c r="C171"/>
  <c r="C155"/>
  <c r="C147"/>
  <c r="E125"/>
  <c r="D125"/>
  <c r="C125"/>
  <c r="D119"/>
  <c r="E116"/>
  <c r="E115"/>
  <c r="D116"/>
  <c r="C116"/>
  <c r="C115"/>
  <c r="D115"/>
  <c r="D103"/>
  <c r="C103"/>
  <c r="C87"/>
  <c r="C80"/>
  <c r="C67"/>
  <c r="C60"/>
  <c r="C76"/>
  <c r="C95"/>
  <c r="C97"/>
  <c r="C56"/>
  <c r="C48"/>
  <c r="C44"/>
  <c r="C31"/>
  <c r="C26"/>
  <c r="C39"/>
  <c r="F245" i="12"/>
  <c r="E245"/>
  <c r="D245"/>
  <c r="C230"/>
  <c r="E211"/>
  <c r="E198"/>
  <c r="D198"/>
  <c r="C198"/>
  <c r="E194"/>
  <c r="D194"/>
  <c r="C194"/>
  <c r="C187"/>
  <c r="C183"/>
  <c r="C175"/>
  <c r="C163"/>
  <c r="C159"/>
  <c r="C155"/>
  <c r="C147"/>
  <c r="E143"/>
  <c r="E142"/>
  <c r="E141"/>
  <c r="E139"/>
  <c r="E138"/>
  <c r="E136"/>
  <c r="E135"/>
  <c r="E134"/>
  <c r="C134"/>
  <c r="E133"/>
  <c r="D133"/>
  <c r="C133"/>
  <c r="E132"/>
  <c r="E131"/>
  <c r="D130"/>
  <c r="C130"/>
  <c r="E130"/>
  <c r="E127"/>
  <c r="E126"/>
  <c r="E125"/>
  <c r="D125"/>
  <c r="C125"/>
  <c r="E122"/>
  <c r="E120"/>
  <c r="E119"/>
  <c r="D119"/>
  <c r="C119"/>
  <c r="E117"/>
  <c r="E116"/>
  <c r="E115"/>
  <c r="D116"/>
  <c r="C116"/>
  <c r="D115"/>
  <c r="C115"/>
  <c r="E113"/>
  <c r="E112"/>
  <c r="E111"/>
  <c r="D111"/>
  <c r="C111"/>
  <c r="E109"/>
  <c r="E108"/>
  <c r="E107"/>
  <c r="C106"/>
  <c r="C105"/>
  <c r="E104"/>
  <c r="E103"/>
  <c r="D103"/>
  <c r="C103"/>
  <c r="C87"/>
  <c r="C80"/>
  <c r="C67"/>
  <c r="C60"/>
  <c r="C56"/>
  <c r="C52"/>
  <c r="C51"/>
  <c r="C48"/>
  <c r="C45"/>
  <c r="C44"/>
  <c r="C53"/>
  <c r="C95"/>
  <c r="C97"/>
  <c r="C31"/>
  <c r="C26"/>
  <c r="C39"/>
  <c r="F245" i="11"/>
  <c r="E245"/>
  <c r="G245"/>
  <c r="D245"/>
  <c r="C198"/>
  <c r="E194"/>
  <c r="D194"/>
  <c r="C194"/>
  <c r="C187"/>
  <c r="C183"/>
  <c r="C175"/>
  <c r="C171"/>
  <c r="C163"/>
  <c r="C155"/>
  <c r="C159"/>
  <c r="C158"/>
  <c r="C152"/>
  <c r="C151"/>
  <c r="C150"/>
  <c r="C147"/>
  <c r="D125"/>
  <c r="C125"/>
  <c r="D119"/>
  <c r="C119"/>
  <c r="D116"/>
  <c r="C116"/>
  <c r="D115"/>
  <c r="C115"/>
  <c r="D103"/>
  <c r="C103"/>
  <c r="C92"/>
  <c r="C87"/>
  <c r="C82"/>
  <c r="C80"/>
  <c r="C70"/>
  <c r="C67"/>
  <c r="C60"/>
  <c r="C56"/>
  <c r="C76"/>
  <c r="C52"/>
  <c r="C51"/>
  <c r="C50"/>
  <c r="C49"/>
  <c r="C48"/>
  <c r="C44"/>
  <c r="C53"/>
  <c r="C95"/>
  <c r="C97"/>
  <c r="C32"/>
  <c r="C31"/>
  <c r="C39"/>
  <c r="C26"/>
  <c r="G250" i="10"/>
  <c r="G249"/>
  <c r="G248"/>
  <c r="G247"/>
  <c r="G246"/>
  <c r="F245"/>
  <c r="E245"/>
  <c r="D245"/>
  <c r="C245"/>
  <c r="G245"/>
  <c r="C241"/>
  <c r="C239"/>
  <c r="C234"/>
  <c r="C230"/>
  <c r="C215"/>
  <c r="C214"/>
  <c r="C212"/>
  <c r="C211"/>
  <c r="E211"/>
  <c r="D211"/>
  <c r="E198"/>
  <c r="D198"/>
  <c r="C198"/>
  <c r="E194"/>
  <c r="D194"/>
  <c r="C194"/>
  <c r="C187"/>
  <c r="C183"/>
  <c r="C181"/>
  <c r="C175"/>
  <c r="C171"/>
  <c r="C163"/>
  <c r="C159"/>
  <c r="C158"/>
  <c r="C156"/>
  <c r="C155"/>
  <c r="C147"/>
  <c r="E139"/>
  <c r="E133"/>
  <c r="D133"/>
  <c r="C133"/>
  <c r="E127"/>
  <c r="C127"/>
  <c r="C125"/>
  <c r="C126"/>
  <c r="D125"/>
  <c r="D119"/>
  <c r="C119"/>
  <c r="E118"/>
  <c r="E116"/>
  <c r="E115"/>
  <c r="D116"/>
  <c r="D115"/>
  <c r="C116"/>
  <c r="C115"/>
  <c r="D103"/>
  <c r="C103"/>
  <c r="C87"/>
  <c r="C80"/>
  <c r="C67"/>
  <c r="C60"/>
  <c r="C56"/>
  <c r="C48"/>
  <c r="C44"/>
  <c r="C53"/>
  <c r="C31"/>
  <c r="C26"/>
  <c r="C39"/>
  <c r="C95"/>
  <c r="C97"/>
  <c r="G245" i="9"/>
  <c r="F245"/>
  <c r="E245"/>
  <c r="D245"/>
  <c r="C245"/>
  <c r="E198"/>
  <c r="D198"/>
  <c r="C198"/>
  <c r="E194"/>
  <c r="D194"/>
  <c r="C194"/>
  <c r="C187"/>
  <c r="C183"/>
  <c r="C175"/>
  <c r="C171"/>
  <c r="C163"/>
  <c r="C159"/>
  <c r="C155"/>
  <c r="C147"/>
  <c r="D125"/>
  <c r="C125"/>
  <c r="D119"/>
  <c r="C119"/>
  <c r="D116"/>
  <c r="D115"/>
  <c r="C111"/>
  <c r="D104"/>
  <c r="D103"/>
  <c r="C103"/>
  <c r="C87"/>
  <c r="C80"/>
  <c r="C67"/>
  <c r="C56"/>
  <c r="C48"/>
  <c r="C44"/>
  <c r="C53"/>
  <c r="C95"/>
  <c r="C97"/>
  <c r="C39"/>
  <c r="C26"/>
  <c r="F245" i="8"/>
  <c r="E245"/>
  <c r="D245"/>
  <c r="C245"/>
  <c r="G245"/>
  <c r="E198"/>
  <c r="D198"/>
  <c r="C198"/>
  <c r="E194"/>
  <c r="D194"/>
  <c r="C194"/>
  <c r="C187"/>
  <c r="C183"/>
  <c r="C175"/>
  <c r="C171"/>
  <c r="C163"/>
  <c r="C159"/>
  <c r="C155"/>
  <c r="C147"/>
  <c r="E125"/>
  <c r="D125"/>
  <c r="C125"/>
  <c r="E119"/>
  <c r="D119"/>
  <c r="C119"/>
  <c r="E116"/>
  <c r="E115"/>
  <c r="D116"/>
  <c r="C116"/>
  <c r="C115"/>
  <c r="D115"/>
  <c r="E103"/>
  <c r="E111"/>
  <c r="D103"/>
  <c r="C103"/>
  <c r="C111"/>
  <c r="C87"/>
  <c r="C80"/>
  <c r="C70"/>
  <c r="C67"/>
  <c r="C60"/>
  <c r="C56"/>
  <c r="C76"/>
  <c r="C48"/>
  <c r="C44"/>
  <c r="C53"/>
  <c r="C95"/>
  <c r="C97"/>
  <c r="C31"/>
  <c r="C26"/>
  <c r="C39"/>
  <c r="F245" i="7"/>
  <c r="E245"/>
  <c r="D245"/>
  <c r="C245"/>
  <c r="G245"/>
  <c r="E198"/>
  <c r="D198"/>
  <c r="C198"/>
  <c r="E194"/>
  <c r="D194"/>
  <c r="C163"/>
  <c r="C159"/>
  <c r="C155"/>
  <c r="C147"/>
  <c r="D125"/>
  <c r="C125"/>
  <c r="D119"/>
  <c r="C119"/>
  <c r="D116"/>
  <c r="D115"/>
  <c r="C115"/>
  <c r="C111"/>
  <c r="C104"/>
  <c r="D103"/>
  <c r="C103"/>
  <c r="C87"/>
  <c r="C80"/>
  <c r="C67"/>
  <c r="C56"/>
  <c r="C76"/>
  <c r="C48"/>
  <c r="C44"/>
  <c r="C53"/>
  <c r="C95"/>
  <c r="C97"/>
  <c r="C31"/>
  <c r="C26"/>
  <c r="C39"/>
  <c r="G245" i="6"/>
  <c r="F245"/>
  <c r="E245"/>
  <c r="D245"/>
  <c r="C245"/>
  <c r="E220"/>
  <c r="E211"/>
  <c r="D211"/>
  <c r="C211"/>
  <c r="E198"/>
  <c r="D198"/>
  <c r="C198"/>
  <c r="E194"/>
  <c r="D194"/>
  <c r="C194"/>
  <c r="C187"/>
  <c r="C183"/>
  <c r="C175"/>
  <c r="C171"/>
  <c r="C163"/>
  <c r="C159"/>
  <c r="C155"/>
  <c r="C147"/>
  <c r="E139"/>
  <c r="E138"/>
  <c r="E133"/>
  <c r="D133"/>
  <c r="C133"/>
  <c r="E125"/>
  <c r="E122"/>
  <c r="E119"/>
  <c r="D119"/>
  <c r="C119"/>
  <c r="E116"/>
  <c r="D116"/>
  <c r="C116"/>
  <c r="D115"/>
  <c r="C115"/>
  <c r="E111"/>
  <c r="D111"/>
  <c r="C111"/>
  <c r="C104"/>
  <c r="E103"/>
  <c r="D103"/>
  <c r="C103"/>
  <c r="C94"/>
  <c r="C92"/>
  <c r="C91"/>
  <c r="C87"/>
  <c r="C76"/>
  <c r="C67"/>
  <c r="C60"/>
  <c r="C56"/>
  <c r="C53"/>
  <c r="C95"/>
  <c r="C97"/>
  <c r="C48"/>
  <c r="C44"/>
  <c r="C39"/>
  <c r="C31"/>
  <c r="C27"/>
  <c r="C26"/>
  <c r="C56" i="5"/>
  <c r="D103"/>
  <c r="D125"/>
  <c r="C157"/>
  <c r="DJ22" i="25" s="1"/>
  <c r="D194" i="5"/>
  <c r="E194"/>
  <c r="D198"/>
  <c r="E198"/>
  <c r="C246"/>
  <c r="C245" s="1"/>
  <c r="D246"/>
  <c r="D245" s="1"/>
  <c r="E245"/>
  <c r="F246"/>
  <c r="F245" s="1"/>
  <c r="CD29" i="25" l="1"/>
  <c r="GB29"/>
  <c r="G245" i="5"/>
  <c r="AJ29" i="25"/>
  <c r="D29"/>
  <c r="I29"/>
  <c r="K29"/>
  <c r="C39" i="5"/>
  <c r="S22" i="25" s="1"/>
  <c r="T29"/>
  <c r="AZ22"/>
  <c r="BC29"/>
  <c r="BL29"/>
  <c r="BN29"/>
  <c r="C53" i="5"/>
  <c r="C95" s="1"/>
  <c r="C97" s="1"/>
  <c r="BU29" i="25"/>
  <c r="CD22"/>
  <c r="DG29"/>
  <c r="FA29"/>
  <c r="DB22"/>
  <c r="DE22"/>
  <c r="BA29"/>
  <c r="AZ29" s="1"/>
  <c r="CC22"/>
  <c r="DH22"/>
  <c r="AW29"/>
  <c r="BR29"/>
  <c r="CA29"/>
  <c r="BZ29" s="1"/>
  <c r="CH29"/>
  <c r="CG29" s="1"/>
  <c r="CC29" s="1"/>
  <c r="CM29"/>
  <c r="CK29" s="1"/>
  <c r="X22"/>
  <c r="X29" s="1"/>
  <c r="AB29" s="1"/>
  <c r="AD29" s="1"/>
  <c r="AY19"/>
  <c r="AY21"/>
  <c r="AE11"/>
  <c r="AY15"/>
  <c r="AY23"/>
  <c r="AY25"/>
  <c r="AH29"/>
  <c r="AM29"/>
  <c r="AI29" s="1"/>
  <c r="BK29"/>
  <c r="DH26"/>
  <c r="DH16"/>
  <c r="DH14"/>
  <c r="DH12"/>
  <c r="DH10"/>
  <c r="DH8"/>
  <c r="DH6"/>
  <c r="DW25"/>
  <c r="DW15"/>
  <c r="DW11"/>
  <c r="DW7"/>
  <c r="ET26"/>
  <c r="DB26"/>
  <c r="DB24"/>
  <c r="DT27"/>
  <c r="DT25"/>
  <c r="DT23"/>
  <c r="BR6"/>
  <c r="BR10"/>
  <c r="BR14"/>
  <c r="BR18"/>
  <c r="BR22"/>
  <c r="AY13"/>
  <c r="AY9"/>
  <c r="AI11"/>
  <c r="AY11" s="1"/>
  <c r="AY7"/>
  <c r="AY27"/>
  <c r="AY16"/>
  <c r="AR29"/>
  <c r="AP29" s="1"/>
  <c r="AT29"/>
  <c r="AY12"/>
  <c r="AZ5"/>
  <c r="BH29"/>
  <c r="BG29" s="1"/>
  <c r="AS6"/>
  <c r="CC5"/>
  <c r="CC13"/>
  <c r="CC6"/>
  <c r="CC15"/>
  <c r="CC7"/>
  <c r="B29"/>
  <c r="F29"/>
  <c r="C29"/>
  <c r="G29"/>
  <c r="J29"/>
  <c r="L29"/>
  <c r="N29"/>
  <c r="P29"/>
  <c r="S29"/>
  <c r="AB6"/>
  <c r="AD6" s="1"/>
  <c r="AB8"/>
  <c r="AD8" s="1"/>
  <c r="AB10"/>
  <c r="AD10" s="1"/>
  <c r="AB12"/>
  <c r="AD12" s="1"/>
  <c r="AB14"/>
  <c r="AD14" s="1"/>
  <c r="AB16"/>
  <c r="AD16" s="1"/>
  <c r="AB19"/>
  <c r="AD19" s="1"/>
  <c r="AB21"/>
  <c r="AD21" s="1"/>
  <c r="AB23"/>
  <c r="AD23" s="1"/>
  <c r="AB26"/>
  <c r="AD26" s="1"/>
  <c r="U29"/>
  <c r="Z29"/>
  <c r="AC29"/>
  <c r="AE10"/>
  <c r="AY18"/>
  <c r="DH15"/>
  <c r="DH13"/>
  <c r="DH11"/>
  <c r="DH9"/>
  <c r="DH7"/>
  <c r="DL18"/>
  <c r="EA18"/>
  <c r="EP27"/>
  <c r="EP23"/>
  <c r="AY6"/>
  <c r="DM29"/>
  <c r="DL5"/>
  <c r="EB29"/>
  <c r="EA5"/>
  <c r="BO6"/>
  <c r="BQ6" s="1"/>
  <c r="BO21"/>
  <c r="BQ21" s="1"/>
  <c r="BO26"/>
  <c r="BQ26" s="1"/>
  <c r="AY22"/>
  <c r="DJ29"/>
  <c r="DH19"/>
  <c r="DO29"/>
  <c r="DL27"/>
  <c r="DL25"/>
  <c r="DL23"/>
  <c r="DL20"/>
  <c r="DL15"/>
  <c r="DL13"/>
  <c r="DL11"/>
  <c r="DL9"/>
  <c r="DL7"/>
  <c r="DE29"/>
  <c r="DE26"/>
  <c r="DE24"/>
  <c r="DE21"/>
  <c r="DE19"/>
  <c r="DE16"/>
  <c r="DE14"/>
  <c r="DE12"/>
  <c r="DE10"/>
  <c r="DE8"/>
  <c r="DE6"/>
  <c r="DZ29"/>
  <c r="DW20"/>
  <c r="DW18"/>
  <c r="DX29"/>
  <c r="DW29" s="1"/>
  <c r="ED29"/>
  <c r="EA27"/>
  <c r="EA25"/>
  <c r="EA23"/>
  <c r="EA20"/>
  <c r="EA15"/>
  <c r="EA13"/>
  <c r="EA11"/>
  <c r="EA9"/>
  <c r="EA7"/>
  <c r="EL21"/>
  <c r="EL19"/>
  <c r="EL29"/>
  <c r="EL26"/>
  <c r="EL24"/>
  <c r="EL16"/>
  <c r="EL14"/>
  <c r="EL12"/>
  <c r="EL10"/>
  <c r="EL8"/>
  <c r="EL6"/>
  <c r="EQ29"/>
  <c r="EV29"/>
  <c r="ET21"/>
  <c r="ET19"/>
  <c r="DP17"/>
  <c r="DH17"/>
  <c r="DB29"/>
  <c r="EH17"/>
  <c r="EG29"/>
  <c r="EE29" s="1"/>
  <c r="DR29"/>
  <c r="DP5"/>
  <c r="EJ29"/>
  <c r="EH5"/>
  <c r="FE29"/>
  <c r="FC5"/>
  <c r="BO12"/>
  <c r="BQ12" s="1"/>
  <c r="BO23"/>
  <c r="BQ23" s="1"/>
  <c r="AF29"/>
  <c r="AE29" s="1"/>
  <c r="AY5"/>
  <c r="CC10"/>
  <c r="CC18"/>
  <c r="DH5"/>
  <c r="DN29"/>
  <c r="DP21"/>
  <c r="DH21" s="1"/>
  <c r="EC29"/>
  <c r="EH21"/>
  <c r="EP20"/>
  <c r="EP18"/>
  <c r="ES29"/>
  <c r="DU29"/>
  <c r="EE25"/>
  <c r="CN29"/>
  <c r="CN7"/>
  <c r="CN5"/>
  <c r="AB5"/>
  <c r="AD5" s="1"/>
  <c r="AB7"/>
  <c r="AD7" s="1"/>
  <c r="AB9"/>
  <c r="AD9" s="1"/>
  <c r="BO9" s="1"/>
  <c r="BQ9" s="1"/>
  <c r="AB11"/>
  <c r="AD11" s="1"/>
  <c r="AB13"/>
  <c r="AD13" s="1"/>
  <c r="AB15"/>
  <c r="AD15" s="1"/>
  <c r="AB17"/>
  <c r="AD17" s="1"/>
  <c r="AB18"/>
  <c r="AD18" s="1"/>
  <c r="BO18" s="1"/>
  <c r="BQ18" s="1"/>
  <c r="AB20"/>
  <c r="AD20" s="1"/>
  <c r="AB25"/>
  <c r="AD25" s="1"/>
  <c r="BO25" s="1"/>
  <c r="BQ25" s="1"/>
  <c r="AB27"/>
  <c r="AD27" s="1"/>
  <c r="AP8"/>
  <c r="AY8" s="1"/>
  <c r="AP10"/>
  <c r="AY10" s="1"/>
  <c r="AP14"/>
  <c r="AY14" s="1"/>
  <c r="BO14" s="1"/>
  <c r="BQ14" s="1"/>
  <c r="AP20"/>
  <c r="AY20" s="1"/>
  <c r="BO24"/>
  <c r="BQ24" s="1"/>
  <c r="DL21"/>
  <c r="DL19"/>
  <c r="DS29"/>
  <c r="DP20"/>
  <c r="DH20" s="1"/>
  <c r="DP18"/>
  <c r="DH18" s="1"/>
  <c r="DQ29"/>
  <c r="DP29" s="1"/>
  <c r="DH29" s="1"/>
  <c r="DY29"/>
  <c r="EA21"/>
  <c r="EA19"/>
  <c r="EK29"/>
  <c r="EH20"/>
  <c r="EH18"/>
  <c r="EI29"/>
  <c r="ER29"/>
  <c r="EP29" s="1"/>
  <c r="EW29"/>
  <c r="EY29"/>
  <c r="DV29"/>
  <c r="DT29" s="1"/>
  <c r="EZ29"/>
  <c r="FB29"/>
  <c r="FC29"/>
  <c r="BO8"/>
  <c r="BQ8" s="1"/>
  <c r="BO10"/>
  <c r="BQ10" s="1"/>
  <c r="BO20"/>
  <c r="BQ20" s="1"/>
  <c r="EH29"/>
  <c r="BO16"/>
  <c r="BQ16" s="1"/>
  <c r="BO19"/>
  <c r="BQ19" s="1"/>
  <c r="BO27"/>
  <c r="BQ27" s="1"/>
  <c r="BO11"/>
  <c r="BQ11" s="1"/>
  <c r="BO13"/>
  <c r="BQ13" s="1"/>
  <c r="BO15"/>
  <c r="BQ15" s="1"/>
  <c r="BO7"/>
  <c r="BQ7" s="1"/>
  <c r="BO17"/>
  <c r="BQ17" s="1"/>
  <c r="R29"/>
  <c r="AB22" l="1"/>
  <c r="AD22" s="1"/>
  <c r="AS29"/>
  <c r="AY29" s="1"/>
  <c r="BO29" s="1"/>
  <c r="BQ29" s="1"/>
  <c r="ET29"/>
  <c r="EA29"/>
  <c r="DL29"/>
  <c r="BO5"/>
  <c r="BQ5" s="1"/>
  <c r="BO22"/>
  <c r="BQ22" s="1"/>
</calcChain>
</file>

<file path=xl/comments1.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10.xml><?xml version="1.0" encoding="utf-8"?>
<comments xmlns="http://schemas.openxmlformats.org/spreadsheetml/2006/main">
  <authors>
    <author>bkowalczyk</author>
    <author>Stephanie Brasley</author>
    <author>CSUMB</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09/24/2010
</t>
        </r>
      </text>
    </comment>
    <comment ref="E113" authorId="2">
      <text>
        <r>
          <rPr>
            <b/>
            <sz val="8"/>
            <color indexed="81"/>
            <rFont val="Tahoma"/>
            <family val="2"/>
          </rPr>
          <t>CSUMB:</t>
        </r>
        <r>
          <rPr>
            <sz val="8"/>
            <color indexed="81"/>
            <rFont val="Tahoma"/>
            <family val="2"/>
          </rPr>
          <t xml:space="preserve">
09/24/2010
</t>
        </r>
      </text>
    </comment>
    <comment ref="E139" authorId="1">
      <text>
        <r>
          <rPr>
            <b/>
            <sz val="8"/>
            <color indexed="81"/>
            <rFont val="Tahoma"/>
            <family val="2"/>
          </rPr>
          <t>Stephanie Brasley:</t>
        </r>
        <r>
          <rPr>
            <sz val="8"/>
            <color indexed="81"/>
            <rFont val="Tahoma"/>
            <family val="2"/>
          </rPr>
          <t xml:space="preserve">
http://capstone.csumb.edu/</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11.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H243" authorId="1">
      <text>
        <r>
          <rPr>
            <b/>
            <sz val="8"/>
            <color indexed="81"/>
            <rFont val="Tahoma"/>
            <family val="2"/>
          </rPr>
          <t>Stephanie Brasley:</t>
        </r>
        <r>
          <rPr>
            <sz val="8"/>
            <color indexed="81"/>
            <rFont val="Tahoma"/>
            <family val="2"/>
          </rPr>
          <t xml:space="preserve">
Complex questions-requiring multpile answers and resources
</t>
        </r>
      </text>
    </comment>
  </commentList>
</comments>
</file>

<file path=xl/comments12.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13.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14.xml><?xml version="1.0" encoding="utf-8"?>
<comments xmlns="http://schemas.openxmlformats.org/spreadsheetml/2006/main">
  <authors>
    <author>bkowalczyk</author>
    <author>Stephanie Brasley</author>
    <author>Iwona</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07" authorId="2">
      <text>
        <r>
          <rPr>
            <b/>
            <sz val="8"/>
            <color indexed="81"/>
            <rFont val="Tahoma"/>
            <family val="2"/>
          </rPr>
          <t>Iwona:</t>
        </r>
        <r>
          <rPr>
            <sz val="8"/>
            <color indexed="81"/>
            <rFont val="Tahoma"/>
            <family val="2"/>
          </rPr>
          <t xml:space="preserve">
-new honor with books brochure
eop new student presentation
leadership academy
latino baseball history project newsletter
library mugs
library bags, pens, book stress balls, balloons, table cover library
latino baseball notepads, bookmarks
library bookmarks
Powerpoint for freshman orientation; library guides; instructional handouts for classes; 5 Teaching Resource Center workshops; numerous faculty collaborations; all of us attend faculty departmentat meetings;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 ref="D251" authorId="2">
      <text>
        <r>
          <rPr>
            <b/>
            <sz val="8"/>
            <color indexed="81"/>
            <rFont val="Tahoma"/>
            <family val="2"/>
          </rPr>
          <t>Iwona:</t>
        </r>
        <r>
          <rPr>
            <sz val="8"/>
            <color indexed="81"/>
            <rFont val="Tahoma"/>
            <family val="2"/>
          </rPr>
          <t xml:space="preserve">
Library Administration directional questions</t>
        </r>
      </text>
    </comment>
  </commentList>
</comments>
</file>

<file path=xl/comments15.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16.xml><?xml version="1.0" encoding="utf-8"?>
<comments xmlns="http://schemas.openxmlformats.org/spreadsheetml/2006/main">
  <authors>
    <author>Stephanie Brasley</author>
  </authors>
  <commentList>
    <comment ref="C151" authorId="0">
      <text>
        <r>
          <rPr>
            <b/>
            <sz val="8"/>
            <color indexed="81"/>
            <rFont val="Tahoma"/>
            <family val="2"/>
          </rPr>
          <t>Stephanie Brasley:</t>
        </r>
        <r>
          <rPr>
            <sz val="8"/>
            <color indexed="81"/>
            <rFont val="Tahoma"/>
            <family val="2"/>
          </rPr>
          <t xml:space="preserve">
Corresponds to ACRL Survey question #48</t>
        </r>
      </text>
    </comment>
    <comment ref="C152" authorId="0">
      <text>
        <r>
          <rPr>
            <b/>
            <sz val="8"/>
            <color indexed="81"/>
            <rFont val="Tahoma"/>
            <family val="2"/>
          </rPr>
          <t>Stephanie Brasley:</t>
        </r>
        <r>
          <rPr>
            <sz val="8"/>
            <color indexed="81"/>
            <rFont val="Tahoma"/>
            <family val="2"/>
          </rPr>
          <t xml:space="preserve">
Corresponds to ACRL Survey question #49</t>
        </r>
      </text>
    </comment>
    <comment ref="C175" authorId="0">
      <text>
        <r>
          <rPr>
            <b/>
            <sz val="8"/>
            <color indexed="81"/>
            <rFont val="Tahoma"/>
            <family val="2"/>
          </rPr>
          <t>Stephanie Brasley:</t>
        </r>
        <r>
          <rPr>
            <sz val="8"/>
            <color indexed="81"/>
            <rFont val="Tahoma"/>
            <family val="2"/>
          </rPr>
          <t xml:space="preserve">
Formerly line 45 "Intercampus Circulation - Lending)
</t>
        </r>
      </text>
    </comment>
    <comment ref="C187" authorId="0">
      <text>
        <r>
          <rPr>
            <b/>
            <sz val="8"/>
            <color indexed="81"/>
            <rFont val="Tahoma"/>
            <family val="2"/>
          </rPr>
          <t>Stephanie Brasley:</t>
        </r>
        <r>
          <rPr>
            <sz val="8"/>
            <color indexed="81"/>
            <rFont val="Tahoma"/>
            <family val="2"/>
          </rPr>
          <t xml:space="preserve">
Formerly line 49, "intercampus circulation" - borrowing</t>
        </r>
      </text>
    </comment>
    <comment ref="C197" authorId="0">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0">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0">
      <text>
        <r>
          <rPr>
            <b/>
            <sz val="8"/>
            <color indexed="81"/>
            <rFont val="Tahoma"/>
            <family val="2"/>
          </rPr>
          <t>Stephanie Brasley:</t>
        </r>
        <r>
          <rPr>
            <sz val="8"/>
            <color indexed="81"/>
            <rFont val="Tahoma"/>
            <family val="2"/>
          </rPr>
          <t xml:space="preserve">
Head-count enrollment
</t>
        </r>
      </text>
    </comment>
    <comment ref="C243" authorId="0">
      <text>
        <r>
          <rPr>
            <b/>
            <sz val="8"/>
            <color indexed="81"/>
            <rFont val="Tahoma"/>
            <family val="2"/>
          </rPr>
          <t>Stephanie Brasley:</t>
        </r>
        <r>
          <rPr>
            <sz val="8"/>
            <color indexed="81"/>
            <rFont val="Tahoma"/>
            <family val="2"/>
          </rPr>
          <t xml:space="preserve">
Directional. Non-resource based question
</t>
        </r>
      </text>
    </comment>
    <comment ref="D243" authorId="0">
      <text>
        <r>
          <rPr>
            <b/>
            <sz val="8"/>
            <color indexed="81"/>
            <rFont val="Tahoma"/>
            <family val="2"/>
          </rPr>
          <t>Stephanie Brasley:</t>
        </r>
        <r>
          <rPr>
            <sz val="8"/>
            <color indexed="81"/>
            <rFont val="Tahoma"/>
            <family val="2"/>
          </rPr>
          <t xml:space="preserve">
Skills-based question - usually technical. E.g. "how to use the catalog"</t>
        </r>
      </text>
    </comment>
    <comment ref="E243" authorId="0">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0">
      <text>
        <r>
          <rPr>
            <b/>
            <sz val="8"/>
            <color indexed="81"/>
            <rFont val="Tahoma"/>
            <family val="2"/>
          </rPr>
          <t>Stephanie Brasley:</t>
        </r>
        <r>
          <rPr>
            <sz val="8"/>
            <color indexed="81"/>
            <rFont val="Tahoma"/>
            <family val="2"/>
          </rPr>
          <t xml:space="preserve">
Complex questions-requiring multiple answers and resources</t>
        </r>
      </text>
    </comment>
    <comment ref="G243" authorId="0">
      <text>
        <r>
          <rPr>
            <b/>
            <sz val="8"/>
            <color indexed="81"/>
            <rFont val="Tahoma"/>
            <family val="2"/>
          </rPr>
          <t>Stephanie Brasley:</t>
        </r>
        <r>
          <rPr>
            <sz val="8"/>
            <color indexed="81"/>
            <rFont val="Tahoma"/>
            <family val="2"/>
          </rPr>
          <t xml:space="preserve">
Complex questions-requiring multpile answers and resources
</t>
        </r>
      </text>
    </comment>
    <comment ref="C251" authorId="0">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17.xml><?xml version="1.0" encoding="utf-8"?>
<comments xmlns="http://schemas.openxmlformats.org/spreadsheetml/2006/main">
  <authors>
    <author>jshmo</author>
    <author>bkowalczyk</author>
    <author>Stephanie Brasley</author>
  </authors>
  <commentList>
    <comment ref="C83" authorId="0">
      <text>
        <r>
          <rPr>
            <b/>
            <sz val="8"/>
            <color indexed="81"/>
            <rFont val="Tahoma"/>
            <family val="2"/>
          </rPr>
          <t>jshmo:</t>
        </r>
        <r>
          <rPr>
            <sz val="8"/>
            <color indexed="81"/>
            <rFont val="Tahoma"/>
            <family val="2"/>
          </rPr>
          <t xml:space="preserve">
16c should appear as - &amp; 16 d as +. Instead, we included these calculations in Line 21.</t>
        </r>
      </text>
    </comment>
    <comment ref="C84" authorId="0">
      <text>
        <r>
          <rPr>
            <b/>
            <sz val="8"/>
            <color indexed="81"/>
            <rFont val="Tahoma"/>
            <family val="2"/>
          </rPr>
          <t>jshmo:</t>
        </r>
        <r>
          <rPr>
            <sz val="8"/>
            <color indexed="81"/>
            <rFont val="Tahoma"/>
            <family val="2"/>
          </rPr>
          <t xml:space="preserve">
16c should appear as - &amp; 16 d as +. Instead, we included these calculations in Line 21.</t>
        </r>
      </text>
    </comment>
    <comment ref="C94" authorId="0">
      <text>
        <r>
          <rPr>
            <b/>
            <sz val="8"/>
            <color indexed="81"/>
            <rFont val="Tahoma"/>
            <family val="2"/>
          </rPr>
          <t>jshmo:</t>
        </r>
        <r>
          <rPr>
            <sz val="8"/>
            <color indexed="81"/>
            <rFont val="Tahoma"/>
            <family val="2"/>
          </rPr>
          <t xml:space="preserve">
Included mailing and UPS here instead of in Line 16b. Not possible to pull out these figures.</t>
        </r>
      </text>
    </comment>
    <comment ref="E100" authorId="1">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2">
      <text>
        <r>
          <rPr>
            <b/>
            <sz val="8"/>
            <color indexed="81"/>
            <rFont val="Tahoma"/>
            <family val="2"/>
          </rPr>
          <t>Stephanie Brasley:</t>
        </r>
        <r>
          <rPr>
            <sz val="8"/>
            <color indexed="81"/>
            <rFont val="Tahoma"/>
            <family val="2"/>
          </rPr>
          <t xml:space="preserve">
Subset of 23a</t>
        </r>
      </text>
    </comment>
    <comment ref="E106" authorId="2">
      <text>
        <r>
          <rPr>
            <b/>
            <sz val="8"/>
            <color indexed="81"/>
            <rFont val="Tahoma"/>
            <family val="2"/>
          </rPr>
          <t>Stephanie Brasley:</t>
        </r>
        <r>
          <rPr>
            <sz val="8"/>
            <color indexed="81"/>
            <rFont val="Tahoma"/>
            <family val="2"/>
          </rPr>
          <t xml:space="preserve">
Subset of 23a</t>
        </r>
      </text>
    </comment>
    <comment ref="E111" authorId="2">
      <text>
        <r>
          <rPr>
            <b/>
            <sz val="8"/>
            <color indexed="81"/>
            <rFont val="Tahoma"/>
            <family val="2"/>
          </rPr>
          <t>Stephanie Brasley:</t>
        </r>
        <r>
          <rPr>
            <sz val="8"/>
            <color indexed="81"/>
            <rFont val="Tahoma"/>
            <family val="2"/>
          </rPr>
          <t xml:space="preserve">
Total unique titles should NOT be greater than total volumes
</t>
        </r>
      </text>
    </comment>
    <comment ref="E112" authorId="2">
      <text>
        <r>
          <rPr>
            <b/>
            <sz val="8"/>
            <color indexed="81"/>
            <rFont val="Tahoma"/>
            <family val="2"/>
          </rPr>
          <t>Stephanie Brasley:</t>
        </r>
        <r>
          <rPr>
            <sz val="8"/>
            <color indexed="81"/>
            <rFont val="Tahoma"/>
            <family val="2"/>
          </rPr>
          <t xml:space="preserve">
Add the date this number was gathered</t>
        </r>
      </text>
    </comment>
    <comment ref="E139" authorId="2">
      <text>
        <r>
          <rPr>
            <b/>
            <sz val="8"/>
            <color indexed="81"/>
            <rFont val="Tahoma"/>
            <family val="2"/>
          </rPr>
          <t>Stephanie Brasley:</t>
        </r>
        <r>
          <rPr>
            <sz val="8"/>
            <color indexed="81"/>
            <rFont val="Tahoma"/>
            <family val="2"/>
          </rPr>
          <t xml:space="preserve">
Provide the URL where collections are listed</t>
        </r>
      </text>
    </comment>
    <comment ref="C151" authorId="2">
      <text>
        <r>
          <rPr>
            <b/>
            <sz val="8"/>
            <color indexed="81"/>
            <rFont val="Tahoma"/>
            <family val="2"/>
          </rPr>
          <t>Stephanie Brasley:</t>
        </r>
        <r>
          <rPr>
            <sz val="8"/>
            <color indexed="81"/>
            <rFont val="Tahoma"/>
            <family val="2"/>
          </rPr>
          <t xml:space="preserve">
Corresponds to ACRL Survey question #48</t>
        </r>
      </text>
    </comment>
    <comment ref="C152" authorId="2">
      <text>
        <r>
          <rPr>
            <b/>
            <sz val="8"/>
            <color indexed="81"/>
            <rFont val="Tahoma"/>
            <family val="2"/>
          </rPr>
          <t>Stephanie Brasley:</t>
        </r>
        <r>
          <rPr>
            <sz val="8"/>
            <color indexed="81"/>
            <rFont val="Tahoma"/>
            <family val="2"/>
          </rPr>
          <t xml:space="preserve">
Corresponds to ACRL Survey question #49</t>
        </r>
      </text>
    </comment>
    <comment ref="E195" authorId="0">
      <text>
        <r>
          <rPr>
            <b/>
            <sz val="8"/>
            <color indexed="81"/>
            <rFont val="Tahoma"/>
            <family val="2"/>
          </rPr>
          <t>jshmo:</t>
        </r>
        <r>
          <rPr>
            <sz val="8"/>
            <color indexed="81"/>
            <rFont val="Tahoma"/>
            <family val="2"/>
          </rPr>
          <t xml:space="preserve">
SJSU has 39 home grown tutorials and access to 2 suites of tutorials from databases.</t>
        </r>
      </text>
    </comment>
    <comment ref="C197" authorId="2">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E199" authorId="0">
      <text>
        <r>
          <rPr>
            <b/>
            <sz val="8"/>
            <color indexed="81"/>
            <rFont val="Tahoma"/>
            <family val="2"/>
          </rPr>
          <t>jshmo:</t>
        </r>
        <r>
          <rPr>
            <sz val="8"/>
            <color indexed="81"/>
            <rFont val="Tahoma"/>
            <family val="2"/>
          </rPr>
          <t xml:space="preserve">
# of visits to the 39 SJSU online tutorials</t>
        </r>
      </text>
    </comment>
    <comment ref="C201" authorId="2">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2">
      <text>
        <r>
          <rPr>
            <b/>
            <sz val="8"/>
            <color indexed="81"/>
            <rFont val="Tahoma"/>
            <family val="2"/>
          </rPr>
          <t>Stephanie Brasley:</t>
        </r>
        <r>
          <rPr>
            <sz val="8"/>
            <color indexed="81"/>
            <rFont val="Tahoma"/>
            <family val="2"/>
          </rPr>
          <t xml:space="preserve">
Head-count enrollment
</t>
        </r>
      </text>
    </comment>
    <comment ref="C205" authorId="0">
      <text>
        <r>
          <rPr>
            <b/>
            <sz val="8"/>
            <color indexed="81"/>
            <rFont val="Tahoma"/>
            <family val="2"/>
          </rPr>
          <t>jshmo:</t>
        </r>
        <r>
          <rPr>
            <sz val="8"/>
            <color indexed="81"/>
            <rFont val="Tahoma"/>
            <family val="2"/>
          </rPr>
          <t xml:space="preserve">
These are strictly library led tours. Does not include campus tours with the library as a stop.</t>
        </r>
      </text>
    </comment>
    <comment ref="C207" authorId="0">
      <text>
        <r>
          <rPr>
            <b/>
            <sz val="8"/>
            <color indexed="81"/>
            <rFont val="Tahoma"/>
            <family val="2"/>
          </rPr>
          <t>jshmo:</t>
        </r>
        <r>
          <rPr>
            <sz val="8"/>
            <color indexed="81"/>
            <rFont val="Tahoma"/>
            <family val="2"/>
          </rPr>
          <t xml:space="preserve">
Librarians attended 39 events promoting the library. They spoke to __ students, faculty and community members. Spoke with 4507 people.</t>
        </r>
      </text>
    </comment>
    <comment ref="C234" authorId="0">
      <text>
        <r>
          <rPr>
            <b/>
            <sz val="8"/>
            <color indexed="81"/>
            <rFont val="Tahoma"/>
            <family val="2"/>
          </rPr>
          <t>jshmo:</t>
        </r>
        <r>
          <rPr>
            <sz val="8"/>
            <color indexed="81"/>
            <rFont val="Tahoma"/>
            <family val="2"/>
          </rPr>
          <t xml:space="preserve">
Includes use by SJSU &amp; SJPL</t>
        </r>
      </text>
    </comment>
    <comment ref="C241" authorId="0">
      <text>
        <r>
          <rPr>
            <b/>
            <sz val="8"/>
            <color indexed="81"/>
            <rFont val="Tahoma"/>
            <family val="2"/>
          </rPr>
          <t>jshmo:</t>
        </r>
        <r>
          <rPr>
            <sz val="8"/>
            <color indexed="81"/>
            <rFont val="Tahoma"/>
            <family val="2"/>
          </rPr>
          <t xml:space="preserve">
Includes 2nd Floor reference &amp; 5th Floor CHC desk</t>
        </r>
      </text>
    </comment>
    <comment ref="C243" authorId="2">
      <text>
        <r>
          <rPr>
            <b/>
            <sz val="8"/>
            <color indexed="81"/>
            <rFont val="Tahoma"/>
            <family val="2"/>
          </rPr>
          <t>Stephanie Brasley:</t>
        </r>
        <r>
          <rPr>
            <sz val="8"/>
            <color indexed="81"/>
            <rFont val="Tahoma"/>
            <family val="2"/>
          </rPr>
          <t xml:space="preserve">
Directional. Non-resource based question
</t>
        </r>
      </text>
    </comment>
    <comment ref="D243" authorId="2">
      <text>
        <r>
          <rPr>
            <b/>
            <sz val="8"/>
            <color indexed="81"/>
            <rFont val="Tahoma"/>
            <family val="2"/>
          </rPr>
          <t>Stephanie Brasley:</t>
        </r>
        <r>
          <rPr>
            <sz val="8"/>
            <color indexed="81"/>
            <rFont val="Tahoma"/>
            <family val="2"/>
          </rPr>
          <t xml:space="preserve">
Skills-based question - usually technical. E.g. "how to use the catalog"</t>
        </r>
      </text>
    </comment>
    <comment ref="E243" authorId="2">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2">
      <text>
        <r>
          <rPr>
            <b/>
            <sz val="8"/>
            <color indexed="81"/>
            <rFont val="Tahoma"/>
            <family val="2"/>
          </rPr>
          <t>Stephanie Brasley:</t>
        </r>
        <r>
          <rPr>
            <sz val="8"/>
            <color indexed="81"/>
            <rFont val="Tahoma"/>
            <family val="2"/>
          </rPr>
          <t xml:space="preserve">
Complex questions-requiring multiple answers and resources</t>
        </r>
      </text>
    </comment>
    <comment ref="G243" authorId="2">
      <text>
        <r>
          <rPr>
            <b/>
            <sz val="8"/>
            <color indexed="81"/>
            <rFont val="Tahoma"/>
            <family val="2"/>
          </rPr>
          <t>Stephanie Brasley:</t>
        </r>
        <r>
          <rPr>
            <sz val="8"/>
            <color indexed="81"/>
            <rFont val="Tahoma"/>
            <family val="2"/>
          </rPr>
          <t xml:space="preserve">
Complex questions-requiring multpile answers and resources
</t>
        </r>
      </text>
    </comment>
    <comment ref="C251" authorId="2">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18.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19.xml><?xml version="1.0" encoding="utf-8"?>
<comments xmlns="http://schemas.openxmlformats.org/spreadsheetml/2006/main">
  <authors>
    <author>IITS</author>
    <author>bkowalczyk</author>
    <author>Stephanie Brasley</author>
  </authors>
  <commentList>
    <comment ref="D94" authorId="0">
      <text>
        <r>
          <rPr>
            <b/>
            <sz val="9"/>
            <color indexed="81"/>
            <rFont val="Tahoma"/>
            <family val="2"/>
          </rPr>
          <t>Includes:  misc. operating expenses frm: gen'l fund, 2 trusts, 1 lott fund &amp; 2 Auxil projects.</t>
        </r>
        <r>
          <rPr>
            <sz val="9"/>
            <color indexed="81"/>
            <rFont val="Tahoma"/>
            <family val="2"/>
          </rPr>
          <t xml:space="preserve">
</t>
        </r>
      </text>
    </comment>
    <comment ref="E100" authorId="1">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2">
      <text>
        <r>
          <rPr>
            <b/>
            <sz val="8"/>
            <color indexed="81"/>
            <rFont val="Tahoma"/>
            <family val="2"/>
          </rPr>
          <t>Stephanie Brasley:</t>
        </r>
        <r>
          <rPr>
            <sz val="8"/>
            <color indexed="81"/>
            <rFont val="Tahoma"/>
            <family val="2"/>
          </rPr>
          <t xml:space="preserve">
Subset of 23a</t>
        </r>
      </text>
    </comment>
    <comment ref="E106" authorId="2">
      <text>
        <r>
          <rPr>
            <b/>
            <sz val="8"/>
            <color indexed="81"/>
            <rFont val="Tahoma"/>
            <family val="2"/>
          </rPr>
          <t>Stephanie Brasley:</t>
        </r>
        <r>
          <rPr>
            <sz val="8"/>
            <color indexed="81"/>
            <rFont val="Tahoma"/>
            <family val="2"/>
          </rPr>
          <t xml:space="preserve">
Subset of 23a</t>
        </r>
      </text>
    </comment>
    <comment ref="E111" authorId="2">
      <text>
        <r>
          <rPr>
            <b/>
            <sz val="8"/>
            <color indexed="81"/>
            <rFont val="Tahoma"/>
            <family val="2"/>
          </rPr>
          <t>Stephanie Brasley:</t>
        </r>
        <r>
          <rPr>
            <sz val="8"/>
            <color indexed="81"/>
            <rFont val="Tahoma"/>
            <family val="2"/>
          </rPr>
          <t xml:space="preserve">
Total unique titles should NOT be greater than total volumes
</t>
        </r>
      </text>
    </comment>
    <comment ref="E112" authorId="2">
      <text>
        <r>
          <rPr>
            <b/>
            <sz val="8"/>
            <color indexed="81"/>
            <rFont val="Tahoma"/>
            <family val="2"/>
          </rPr>
          <t>Stephanie Brasley:</t>
        </r>
        <r>
          <rPr>
            <sz val="8"/>
            <color indexed="81"/>
            <rFont val="Tahoma"/>
            <family val="2"/>
          </rPr>
          <t xml:space="preserve">
Add the date this number was gathered</t>
        </r>
      </text>
    </comment>
    <comment ref="E139" authorId="2">
      <text>
        <r>
          <rPr>
            <b/>
            <sz val="8"/>
            <color indexed="81"/>
            <rFont val="Tahoma"/>
            <family val="2"/>
          </rPr>
          <t>Stephanie Brasley:</t>
        </r>
        <r>
          <rPr>
            <sz val="8"/>
            <color indexed="81"/>
            <rFont val="Tahoma"/>
            <family val="2"/>
          </rPr>
          <t xml:space="preserve">
Provide the URL where collections are listed</t>
        </r>
      </text>
    </comment>
    <comment ref="C151" authorId="2">
      <text>
        <r>
          <rPr>
            <b/>
            <sz val="8"/>
            <color indexed="81"/>
            <rFont val="Tahoma"/>
            <family val="2"/>
          </rPr>
          <t>Stephanie Brasley:</t>
        </r>
        <r>
          <rPr>
            <sz val="8"/>
            <color indexed="81"/>
            <rFont val="Tahoma"/>
            <family val="2"/>
          </rPr>
          <t xml:space="preserve">
Corresponds to ACRL Survey question #48</t>
        </r>
      </text>
    </comment>
    <comment ref="C152" authorId="2">
      <text>
        <r>
          <rPr>
            <b/>
            <sz val="8"/>
            <color indexed="81"/>
            <rFont val="Tahoma"/>
            <family val="2"/>
          </rPr>
          <t>Stephanie Brasley:</t>
        </r>
        <r>
          <rPr>
            <sz val="8"/>
            <color indexed="81"/>
            <rFont val="Tahoma"/>
            <family val="2"/>
          </rPr>
          <t xml:space="preserve">
Corresponds to ACRL Survey question #49</t>
        </r>
      </text>
    </comment>
    <comment ref="C175" authorId="2">
      <text>
        <r>
          <rPr>
            <b/>
            <sz val="8"/>
            <color indexed="81"/>
            <rFont val="Tahoma"/>
            <family val="2"/>
          </rPr>
          <t>Stephanie Brasley:</t>
        </r>
        <r>
          <rPr>
            <sz val="8"/>
            <color indexed="81"/>
            <rFont val="Tahoma"/>
            <family val="2"/>
          </rPr>
          <t xml:space="preserve">
Formerly line 45 "Intercampus Circulation - Lending)
</t>
        </r>
      </text>
    </comment>
    <comment ref="C187" authorId="2">
      <text>
        <r>
          <rPr>
            <b/>
            <sz val="8"/>
            <color indexed="81"/>
            <rFont val="Tahoma"/>
            <family val="2"/>
          </rPr>
          <t>Stephanie Brasley:</t>
        </r>
        <r>
          <rPr>
            <sz val="8"/>
            <color indexed="81"/>
            <rFont val="Tahoma"/>
            <family val="2"/>
          </rPr>
          <t xml:space="preserve">
Formerly line 49, "intercampus circulation" - borrowing</t>
        </r>
      </text>
    </comment>
    <comment ref="C207" authorId="0">
      <text>
        <r>
          <rPr>
            <sz val="9"/>
            <color indexed="81"/>
            <rFont val="Tahoma"/>
            <family val="2"/>
          </rPr>
          <t xml:space="preserve">not tracked 09/10.
</t>
        </r>
      </text>
    </comment>
    <comment ref="E212" authorId="0">
      <text>
        <r>
          <rPr>
            <b/>
            <sz val="9"/>
            <color indexed="81"/>
            <rFont val="Tahoma"/>
            <family val="2"/>
          </rPr>
          <t>IITS:</t>
        </r>
        <r>
          <rPr>
            <sz val="9"/>
            <color indexed="81"/>
            <rFont val="Tahoma"/>
            <family val="2"/>
          </rPr>
          <t xml:space="preserve">
includes library classrooms and non-library computer lab.</t>
        </r>
      </text>
    </comment>
    <comment ref="E213" authorId="0">
      <text>
        <r>
          <rPr>
            <b/>
            <sz val="9"/>
            <color indexed="81"/>
            <rFont val="Tahoma"/>
            <family val="2"/>
          </rPr>
          <t>IITS:</t>
        </r>
        <r>
          <rPr>
            <sz val="9"/>
            <color indexed="81"/>
            <rFont val="Tahoma"/>
            <family val="2"/>
          </rPr>
          <t xml:space="preserve">
question '28a' = audiovisual. Used 51a</t>
        </r>
      </text>
    </comment>
    <comment ref="E215" authorId="0">
      <text>
        <r>
          <rPr>
            <b/>
            <sz val="9"/>
            <color indexed="81"/>
            <rFont val="Tahoma"/>
            <family val="2"/>
          </rPr>
          <t>IITS:</t>
        </r>
        <r>
          <rPr>
            <sz val="9"/>
            <color indexed="81"/>
            <rFont val="Tahoma"/>
            <family val="2"/>
          </rPr>
          <t xml:space="preserve">
28b=audiovisual. Used 51b instead</t>
        </r>
      </text>
    </comment>
    <comment ref="E219" authorId="0">
      <text>
        <r>
          <rPr>
            <b/>
            <sz val="9"/>
            <color indexed="81"/>
            <rFont val="Tahoma"/>
            <family val="2"/>
          </rPr>
          <t>IITS:</t>
        </r>
        <r>
          <rPr>
            <sz val="9"/>
            <color indexed="81"/>
            <rFont val="Tahoma"/>
            <family val="2"/>
          </rPr>
          <t xml:space="preserve">
28d doesn't exist. Used 51d instead</t>
        </r>
      </text>
    </comment>
    <comment ref="F220" authorId="0">
      <text>
        <r>
          <rPr>
            <b/>
            <sz val="9"/>
            <color indexed="81"/>
            <rFont val="Tahoma"/>
            <family val="2"/>
          </rPr>
          <t>IITS:</t>
        </r>
        <r>
          <rPr>
            <sz val="9"/>
            <color indexed="81"/>
            <rFont val="Tahoma"/>
            <family val="2"/>
          </rPr>
          <t xml:space="preserve">
excludes 'self-support' printers &amp; copiers.</t>
        </r>
      </text>
    </comment>
    <comment ref="E221" authorId="0">
      <text>
        <r>
          <rPr>
            <b/>
            <sz val="9"/>
            <color indexed="81"/>
            <rFont val="Tahoma"/>
            <family val="2"/>
          </rPr>
          <t>IITS:</t>
        </r>
        <r>
          <rPr>
            <sz val="9"/>
            <color indexed="81"/>
            <rFont val="Tahoma"/>
            <family val="2"/>
          </rPr>
          <t xml:space="preserve">
28e doesn't exist. Used 51e instead</t>
        </r>
      </text>
    </comment>
    <comment ref="E223" authorId="0">
      <text>
        <r>
          <rPr>
            <b/>
            <sz val="9"/>
            <color indexed="81"/>
            <rFont val="Tahoma"/>
            <family val="2"/>
          </rPr>
          <t>IITS:</t>
        </r>
        <r>
          <rPr>
            <sz val="9"/>
            <color indexed="81"/>
            <rFont val="Tahoma"/>
            <family val="2"/>
          </rPr>
          <t xml:space="preserve">
28f doesn't exist. Used 51f instead</t>
        </r>
      </text>
    </comment>
    <comment ref="E225" authorId="0">
      <text>
        <r>
          <rPr>
            <b/>
            <sz val="9"/>
            <color indexed="81"/>
            <rFont val="Tahoma"/>
            <family val="2"/>
          </rPr>
          <t>IITS:</t>
        </r>
        <r>
          <rPr>
            <sz val="9"/>
            <color indexed="81"/>
            <rFont val="Tahoma"/>
            <family val="2"/>
          </rPr>
          <t xml:space="preserve">
28g doesn't exist. Used 51g instead</t>
        </r>
      </text>
    </comment>
    <comment ref="C243" authorId="2">
      <text>
        <r>
          <rPr>
            <b/>
            <sz val="8"/>
            <color indexed="81"/>
            <rFont val="Tahoma"/>
            <family val="2"/>
          </rPr>
          <t>Stephanie Brasley:</t>
        </r>
        <r>
          <rPr>
            <sz val="8"/>
            <color indexed="81"/>
            <rFont val="Tahoma"/>
            <family val="2"/>
          </rPr>
          <t xml:space="preserve">
Directional. Non-resource based question
</t>
        </r>
      </text>
    </comment>
    <comment ref="D243" authorId="2">
      <text>
        <r>
          <rPr>
            <b/>
            <sz val="8"/>
            <color indexed="81"/>
            <rFont val="Tahoma"/>
            <family val="2"/>
          </rPr>
          <t>Stephanie Brasley:</t>
        </r>
        <r>
          <rPr>
            <sz val="8"/>
            <color indexed="81"/>
            <rFont val="Tahoma"/>
            <family val="2"/>
          </rPr>
          <t xml:space="preserve">
Skills-based question - usually technical. E.g. "how to use the catalog"</t>
        </r>
      </text>
    </comment>
    <comment ref="E243" authorId="2">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2">
      <text>
        <r>
          <rPr>
            <b/>
            <sz val="8"/>
            <color indexed="81"/>
            <rFont val="Tahoma"/>
            <family val="2"/>
          </rPr>
          <t>Stephanie Brasley:</t>
        </r>
        <r>
          <rPr>
            <sz val="8"/>
            <color indexed="81"/>
            <rFont val="Tahoma"/>
            <family val="2"/>
          </rPr>
          <t xml:space="preserve">
Complex questions-requiring multiple answers and resources</t>
        </r>
      </text>
    </comment>
    <comment ref="G243" authorId="2">
      <text>
        <r>
          <rPr>
            <b/>
            <sz val="8"/>
            <color indexed="81"/>
            <rFont val="Tahoma"/>
            <family val="2"/>
          </rPr>
          <t>Stephanie Brasley:</t>
        </r>
        <r>
          <rPr>
            <sz val="8"/>
            <color indexed="81"/>
            <rFont val="Tahoma"/>
            <family val="2"/>
          </rPr>
          <t xml:space="preserve">
Complex questions-requiring multpile answers and resources
</t>
        </r>
      </text>
    </comment>
  </commentList>
</comments>
</file>

<file path=xl/comments2.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List>
</comments>
</file>

<file path=xl/comments20.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21.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3.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4.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List>
</comments>
</file>

<file path=xl/comments5.xml><?xml version="1.0" encoding="utf-8"?>
<comments xmlns="http://schemas.openxmlformats.org/spreadsheetml/2006/main">
  <authors>
    <author>bkowalczyk</author>
    <author>Stephanie Brasley</author>
    <author>ehousewright</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E213" authorId="2">
      <text>
        <r>
          <rPr>
            <b/>
            <sz val="8"/>
            <color indexed="81"/>
            <rFont val="Tahoma"/>
            <family val="2"/>
          </rPr>
          <t>ehousewright:</t>
        </r>
        <r>
          <rPr>
            <sz val="8"/>
            <color indexed="81"/>
            <rFont val="Tahoma"/>
            <family val="2"/>
          </rPr>
          <t xml:space="preserve">
check w/ Dennis: we purchased some public stations</t>
        </r>
      </text>
    </comment>
    <comment ref="E221" authorId="2">
      <text>
        <r>
          <rPr>
            <b/>
            <sz val="8"/>
            <color indexed="81"/>
            <rFont val="Tahoma"/>
            <family val="2"/>
          </rPr>
          <t>ehousewright:</t>
        </r>
        <r>
          <rPr>
            <sz val="8"/>
            <color indexed="81"/>
            <rFont val="Tahoma"/>
            <family val="2"/>
          </rPr>
          <t xml:space="preserve">
even our internal copiers?
Leased?</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6.xml><?xml version="1.0" encoding="utf-8"?>
<comments xmlns="http://schemas.openxmlformats.org/spreadsheetml/2006/main">
  <authors>
    <author>bkowalczyk</author>
    <author>Stephanie Brasley</author>
    <author>lmk</author>
    <author>Kellee Johnson</author>
    <author>cah1</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25a</t>
        </r>
      </text>
    </comment>
    <comment ref="E106" authorId="1">
      <text>
        <r>
          <rPr>
            <b/>
            <sz val="8"/>
            <color indexed="81"/>
            <rFont val="Tahoma"/>
            <family val="2"/>
          </rPr>
          <t>Stephanie Brasley:</t>
        </r>
        <r>
          <rPr>
            <sz val="8"/>
            <color indexed="81"/>
            <rFont val="Tahoma"/>
            <family val="2"/>
          </rPr>
          <t xml:space="preserve">
Subset of 25a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C130" authorId="2">
      <text>
        <r>
          <rPr>
            <b/>
            <sz val="9"/>
            <color indexed="81"/>
            <rFont val="Tahoma"/>
            <family val="2"/>
          </rPr>
          <t>lmk:</t>
        </r>
        <r>
          <rPr>
            <sz val="9"/>
            <color indexed="81"/>
            <rFont val="Tahoma"/>
            <family val="2"/>
          </rPr>
          <t xml:space="preserve">
Kimura-71
Berman - 5
Perryman 5</t>
        </r>
      </text>
    </comment>
    <comment ref="D130" authorId="2">
      <text>
        <r>
          <rPr>
            <b/>
            <sz val="9"/>
            <color indexed="81"/>
            <rFont val="Tahoma"/>
            <family val="2"/>
          </rPr>
          <t>lmk:</t>
        </r>
        <r>
          <rPr>
            <sz val="9"/>
            <color indexed="81"/>
            <rFont val="Tahoma"/>
            <family val="2"/>
          </rPr>
          <t xml:space="preserve">
Kimura 6 
Perryman 65</t>
        </r>
      </text>
    </comment>
    <comment ref="C131" authorId="2">
      <text>
        <r>
          <rPr>
            <b/>
            <sz val="9"/>
            <color indexed="81"/>
            <rFont val="Tahoma"/>
            <family val="2"/>
          </rPr>
          <t>lmk:</t>
        </r>
        <r>
          <rPr>
            <sz val="9"/>
            <color indexed="81"/>
            <rFont val="Tahoma"/>
            <family val="2"/>
          </rPr>
          <t xml:space="preserve">
0 documents</t>
        </r>
      </text>
    </comment>
    <comment ref="D131" authorId="2">
      <text>
        <r>
          <rPr>
            <b/>
            <sz val="9"/>
            <color indexed="81"/>
            <rFont val="Tahoma"/>
            <family val="2"/>
          </rPr>
          <t>lmk:</t>
        </r>
        <r>
          <rPr>
            <sz val="9"/>
            <color indexed="81"/>
            <rFont val="Tahoma"/>
            <family val="2"/>
          </rPr>
          <t xml:space="preserve">
0 documents</t>
        </r>
      </text>
    </comment>
    <comment ref="E134" authorId="3">
      <text>
        <r>
          <rPr>
            <b/>
            <sz val="8"/>
            <color indexed="81"/>
            <rFont val="Tahoma"/>
            <family val="2"/>
          </rPr>
          <t>Kellee Johnson:</t>
        </r>
        <r>
          <rPr>
            <sz val="8"/>
            <color indexed="81"/>
            <rFont val="Tahoma"/>
            <family val="2"/>
          </rPr>
          <t xml:space="preserve">
Combination:  Wayne, Laurie, Liz</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30" authorId="4">
      <text>
        <r>
          <rPr>
            <b/>
            <sz val="8"/>
            <color indexed="81"/>
            <rFont val="Tahoma"/>
            <family val="2"/>
          </rPr>
          <t>cah1:</t>
        </r>
        <r>
          <rPr>
            <sz val="8"/>
            <color indexed="81"/>
            <rFont val="Tahoma"/>
            <family val="2"/>
          </rPr>
          <t xml:space="preserve">
I.S. + Circ for 114, 115, 116, 117, 208, 209, 311, 312, 314</t>
        </r>
      </text>
    </comment>
    <comment ref="C232" authorId="4">
      <text>
        <r>
          <rPr>
            <b/>
            <sz val="8"/>
            <color indexed="81"/>
            <rFont val="Tahoma"/>
            <family val="2"/>
          </rPr>
          <t>cah1:</t>
        </r>
        <r>
          <rPr>
            <sz val="8"/>
            <color indexed="81"/>
            <rFont val="Tahoma"/>
            <family val="2"/>
          </rPr>
          <t xml:space="preserve">
L107</t>
        </r>
      </text>
    </comment>
    <comment ref="C234" authorId="4">
      <text>
        <r>
          <rPr>
            <b/>
            <sz val="8"/>
            <color indexed="81"/>
            <rFont val="Tahoma"/>
            <family val="2"/>
          </rPr>
          <t>cah1:</t>
        </r>
        <r>
          <rPr>
            <sz val="8"/>
            <color indexed="81"/>
            <rFont val="Tahoma"/>
            <family val="2"/>
          </rPr>
          <t xml:space="preserve">
21, 121, 122, 310 but only 121 is "bookable"</t>
        </r>
      </text>
    </comment>
    <comment ref="C241" authorId="4">
      <text>
        <r>
          <rPr>
            <b/>
            <sz val="8"/>
            <color indexed="81"/>
            <rFont val="Tahoma"/>
            <family val="2"/>
          </rPr>
          <t>cah1:</t>
        </r>
        <r>
          <rPr>
            <sz val="8"/>
            <color indexed="81"/>
            <rFont val="Tahoma"/>
            <family val="2"/>
          </rPr>
          <t xml:space="preserve">
Ref desks + 24/7</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7.xml><?xml version="1.0" encoding="utf-8"?>
<comments xmlns="http://schemas.openxmlformats.org/spreadsheetml/2006/main">
  <authors>
    <author>sharlene</author>
    <author>bkowalczyk</author>
    <author>Stephanie Brasley</author>
  </authors>
  <commentList>
    <comment ref="C83" authorId="0">
      <text>
        <r>
          <rPr>
            <b/>
            <sz val="8"/>
            <color indexed="81"/>
            <rFont val="Tahoma"/>
            <family val="2"/>
          </rPr>
          <t>sharlene:</t>
        </r>
        <r>
          <rPr>
            <sz val="8"/>
            <color indexed="81"/>
            <rFont val="Tahoma"/>
            <family val="2"/>
          </rPr>
          <t xml:space="preserve">
Borrowing and lending shouldn't be added!</t>
        </r>
      </text>
    </comment>
    <comment ref="E100" authorId="1">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2">
      <text>
        <r>
          <rPr>
            <b/>
            <sz val="8"/>
            <color indexed="81"/>
            <rFont val="Tahoma"/>
            <family val="2"/>
          </rPr>
          <t>Stephanie Brasley:</t>
        </r>
        <r>
          <rPr>
            <sz val="8"/>
            <color indexed="81"/>
            <rFont val="Tahoma"/>
            <family val="2"/>
          </rPr>
          <t xml:space="preserve">
Subset of 23a</t>
        </r>
      </text>
    </comment>
    <comment ref="E106" authorId="2">
      <text>
        <r>
          <rPr>
            <b/>
            <sz val="8"/>
            <color indexed="81"/>
            <rFont val="Tahoma"/>
            <family val="2"/>
          </rPr>
          <t>Stephanie Brasley:</t>
        </r>
        <r>
          <rPr>
            <sz val="8"/>
            <color indexed="81"/>
            <rFont val="Tahoma"/>
            <family val="2"/>
          </rPr>
          <t xml:space="preserve">
Subset of 23a</t>
        </r>
      </text>
    </comment>
    <comment ref="E111" authorId="2">
      <text>
        <r>
          <rPr>
            <b/>
            <sz val="8"/>
            <color indexed="81"/>
            <rFont val="Tahoma"/>
            <family val="2"/>
          </rPr>
          <t>Stephanie Brasley:</t>
        </r>
        <r>
          <rPr>
            <sz val="8"/>
            <color indexed="81"/>
            <rFont val="Tahoma"/>
            <family val="2"/>
          </rPr>
          <t xml:space="preserve">
Total unique titles should NOT be greater than total volumes
</t>
        </r>
      </text>
    </comment>
    <comment ref="D112" authorId="2">
      <text>
        <r>
          <rPr>
            <b/>
            <sz val="8"/>
            <color indexed="81"/>
            <rFont val="Tahoma"/>
            <family val="2"/>
          </rPr>
          <t>Stephanie Brasley:</t>
        </r>
        <r>
          <rPr>
            <sz val="8"/>
            <color indexed="81"/>
            <rFont val="Tahoma"/>
            <family val="2"/>
          </rPr>
          <t xml:space="preserve">
Add the date this number was gathered</t>
        </r>
      </text>
    </comment>
    <comment ref="E133" authorId="0">
      <text>
        <r>
          <rPr>
            <b/>
            <sz val="8"/>
            <color indexed="81"/>
            <rFont val="Tahoma"/>
            <family val="2"/>
          </rPr>
          <t>sharlene:</t>
        </r>
        <r>
          <rPr>
            <sz val="8"/>
            <color indexed="81"/>
            <rFont val="Tahoma"/>
            <family val="2"/>
          </rPr>
          <t xml:space="preserve">
Never counted separately.
</t>
        </r>
      </text>
    </comment>
    <comment ref="E139" authorId="2">
      <text>
        <r>
          <rPr>
            <b/>
            <sz val="8"/>
            <color indexed="81"/>
            <rFont val="Tahoma"/>
            <family val="2"/>
          </rPr>
          <t>Stephanie Brasley:</t>
        </r>
        <r>
          <rPr>
            <sz val="8"/>
            <color indexed="81"/>
            <rFont val="Tahoma"/>
            <family val="2"/>
          </rPr>
          <t xml:space="preserve">
Provide the URL where collections are listed</t>
        </r>
      </text>
    </comment>
    <comment ref="C152" authorId="2">
      <text>
        <r>
          <rPr>
            <b/>
            <sz val="8"/>
            <color indexed="81"/>
            <rFont val="Tahoma"/>
            <family val="2"/>
          </rPr>
          <t>Stephanie Brasley:</t>
        </r>
        <r>
          <rPr>
            <sz val="8"/>
            <color indexed="81"/>
            <rFont val="Tahoma"/>
            <family val="2"/>
          </rPr>
          <t xml:space="preserve">
Corresponds to ACRL Survey question #49</t>
        </r>
      </text>
    </comment>
    <comment ref="C175" authorId="2">
      <text>
        <r>
          <rPr>
            <b/>
            <sz val="8"/>
            <color indexed="81"/>
            <rFont val="Tahoma"/>
            <family val="2"/>
          </rPr>
          <t>Stephanie Brasley:</t>
        </r>
        <r>
          <rPr>
            <sz val="8"/>
            <color indexed="81"/>
            <rFont val="Tahoma"/>
            <family val="2"/>
          </rPr>
          <t xml:space="preserve">
Formerly line 45 "Intercampus Circulation - Lending)
</t>
        </r>
      </text>
    </comment>
    <comment ref="C187" authorId="2">
      <text>
        <r>
          <rPr>
            <b/>
            <sz val="8"/>
            <color indexed="81"/>
            <rFont val="Tahoma"/>
            <family val="2"/>
          </rPr>
          <t>Stephanie Brasley:</t>
        </r>
        <r>
          <rPr>
            <sz val="8"/>
            <color indexed="81"/>
            <rFont val="Tahoma"/>
            <family val="2"/>
          </rPr>
          <t xml:space="preserve">
Formerly line 49, "intercampus circulation" - borrowing</t>
        </r>
      </text>
    </comment>
    <comment ref="C197" authorId="2">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2">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2">
      <text>
        <r>
          <rPr>
            <b/>
            <sz val="8"/>
            <color indexed="81"/>
            <rFont val="Tahoma"/>
            <family val="2"/>
          </rPr>
          <t>Stephanie Brasley:</t>
        </r>
        <r>
          <rPr>
            <sz val="8"/>
            <color indexed="81"/>
            <rFont val="Tahoma"/>
            <family val="2"/>
          </rPr>
          <t xml:space="preserve">
Head-count enrollment
</t>
        </r>
      </text>
    </comment>
    <comment ref="C243" authorId="2">
      <text>
        <r>
          <rPr>
            <b/>
            <sz val="8"/>
            <color indexed="81"/>
            <rFont val="Tahoma"/>
            <family val="2"/>
          </rPr>
          <t>Stephanie Brasley:</t>
        </r>
        <r>
          <rPr>
            <sz val="8"/>
            <color indexed="81"/>
            <rFont val="Tahoma"/>
            <family val="2"/>
          </rPr>
          <t xml:space="preserve">
Directional. Non-resource based question
</t>
        </r>
      </text>
    </comment>
    <comment ref="D243" authorId="2">
      <text>
        <r>
          <rPr>
            <b/>
            <sz val="8"/>
            <color indexed="81"/>
            <rFont val="Tahoma"/>
            <family val="2"/>
          </rPr>
          <t>Stephanie Brasley:</t>
        </r>
        <r>
          <rPr>
            <sz val="8"/>
            <color indexed="81"/>
            <rFont val="Tahoma"/>
            <family val="2"/>
          </rPr>
          <t xml:space="preserve">
Skills-based question - usually technical. E.g. "how to use the catalog"</t>
        </r>
      </text>
    </comment>
    <comment ref="E243" authorId="2">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2">
      <text>
        <r>
          <rPr>
            <b/>
            <sz val="8"/>
            <color indexed="81"/>
            <rFont val="Tahoma"/>
            <family val="2"/>
          </rPr>
          <t>Stephanie Brasley:</t>
        </r>
        <r>
          <rPr>
            <sz val="8"/>
            <color indexed="81"/>
            <rFont val="Tahoma"/>
            <family val="2"/>
          </rPr>
          <t xml:space="preserve">
Complex questions-requiring multiple answers and resources</t>
        </r>
      </text>
    </comment>
    <comment ref="G243" authorId="2">
      <text>
        <r>
          <rPr>
            <b/>
            <sz val="8"/>
            <color indexed="81"/>
            <rFont val="Tahoma"/>
            <family val="2"/>
          </rPr>
          <t>Stephanie Brasley:</t>
        </r>
        <r>
          <rPr>
            <sz val="8"/>
            <color indexed="81"/>
            <rFont val="Tahoma"/>
            <family val="2"/>
          </rPr>
          <t xml:space="preserve">
Complex questions-requiring multpile answers and resources
</t>
        </r>
      </text>
    </comment>
    <comment ref="C251" authorId="2">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comments8.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List>
</comments>
</file>

<file path=xl/comments9.xml><?xml version="1.0" encoding="utf-8"?>
<comments xmlns="http://schemas.openxmlformats.org/spreadsheetml/2006/main">
  <authors>
    <author>bkowalczyk</author>
    <author>Stephanie Brasley</author>
  </authors>
  <commentList>
    <comment ref="E100" authorId="0">
      <text>
        <r>
          <rPr>
            <b/>
            <sz val="8"/>
            <color indexed="81"/>
            <rFont val="Tahoma"/>
            <family val="2"/>
          </rPr>
          <t>bkowalczyk:</t>
        </r>
        <r>
          <rPr>
            <sz val="8"/>
            <color indexed="81"/>
            <rFont val="Tahoma"/>
            <family val="2"/>
          </rPr>
          <t xml:space="preserve">
Should equal last fiscal year's total, plus the Added &amp; minus the Withdrawn</t>
        </r>
      </text>
    </comment>
    <comment ref="E105" authorId="1">
      <text>
        <r>
          <rPr>
            <b/>
            <sz val="8"/>
            <color indexed="81"/>
            <rFont val="Tahoma"/>
            <family val="2"/>
          </rPr>
          <t>Stephanie Brasley:</t>
        </r>
        <r>
          <rPr>
            <sz val="8"/>
            <color indexed="81"/>
            <rFont val="Tahoma"/>
            <family val="2"/>
          </rPr>
          <t xml:space="preserve">
Subset of 23a</t>
        </r>
      </text>
    </comment>
    <comment ref="E106" authorId="1">
      <text>
        <r>
          <rPr>
            <b/>
            <sz val="8"/>
            <color indexed="81"/>
            <rFont val="Tahoma"/>
            <family val="2"/>
          </rPr>
          <t>Stephanie Brasley:</t>
        </r>
        <r>
          <rPr>
            <sz val="8"/>
            <color indexed="81"/>
            <rFont val="Tahoma"/>
            <family val="2"/>
          </rPr>
          <t xml:space="preserve">
Subset of 23a</t>
        </r>
      </text>
    </comment>
    <comment ref="E111" authorId="1">
      <text>
        <r>
          <rPr>
            <b/>
            <sz val="8"/>
            <color indexed="81"/>
            <rFont val="Tahoma"/>
            <family val="2"/>
          </rPr>
          <t>Stephanie Brasley:</t>
        </r>
        <r>
          <rPr>
            <sz val="8"/>
            <color indexed="81"/>
            <rFont val="Tahoma"/>
            <family val="2"/>
          </rPr>
          <t xml:space="preserve">
Total unique titles should NOT be greater than total volumes
</t>
        </r>
      </text>
    </comment>
    <comment ref="E112" authorId="1">
      <text>
        <r>
          <rPr>
            <b/>
            <sz val="8"/>
            <color indexed="81"/>
            <rFont val="Tahoma"/>
            <family val="2"/>
          </rPr>
          <t>Stephanie Brasley:</t>
        </r>
        <r>
          <rPr>
            <sz val="8"/>
            <color indexed="81"/>
            <rFont val="Tahoma"/>
            <family val="2"/>
          </rPr>
          <t xml:space="preserve">
Add the date this number was gathered</t>
        </r>
      </text>
    </comment>
    <comment ref="E139" authorId="1">
      <text>
        <r>
          <rPr>
            <b/>
            <sz val="8"/>
            <color indexed="81"/>
            <rFont val="Tahoma"/>
            <family val="2"/>
          </rPr>
          <t>Stephanie Brasley:</t>
        </r>
        <r>
          <rPr>
            <sz val="8"/>
            <color indexed="81"/>
            <rFont val="Tahoma"/>
            <family val="2"/>
          </rPr>
          <t xml:space="preserve">
Provide the URL where collections are listed</t>
        </r>
      </text>
    </comment>
    <comment ref="C151" authorId="1">
      <text>
        <r>
          <rPr>
            <b/>
            <sz val="8"/>
            <color indexed="81"/>
            <rFont val="Tahoma"/>
            <family val="2"/>
          </rPr>
          <t>Stephanie Brasley:</t>
        </r>
        <r>
          <rPr>
            <sz val="8"/>
            <color indexed="81"/>
            <rFont val="Tahoma"/>
            <family val="2"/>
          </rPr>
          <t xml:space="preserve">
Corresponds to ACRL Survey question #48</t>
        </r>
      </text>
    </comment>
    <comment ref="C152" authorId="1">
      <text>
        <r>
          <rPr>
            <b/>
            <sz val="8"/>
            <color indexed="81"/>
            <rFont val="Tahoma"/>
            <family val="2"/>
          </rPr>
          <t>Stephanie Brasley:</t>
        </r>
        <r>
          <rPr>
            <sz val="8"/>
            <color indexed="81"/>
            <rFont val="Tahoma"/>
            <family val="2"/>
          </rPr>
          <t xml:space="preserve">
Corresponds to ACRL Survey question #49</t>
        </r>
      </text>
    </comment>
    <comment ref="C175" authorId="1">
      <text>
        <r>
          <rPr>
            <b/>
            <sz val="8"/>
            <color indexed="81"/>
            <rFont val="Tahoma"/>
            <family val="2"/>
          </rPr>
          <t>Stephanie Brasley:</t>
        </r>
        <r>
          <rPr>
            <sz val="8"/>
            <color indexed="81"/>
            <rFont val="Tahoma"/>
            <family val="2"/>
          </rPr>
          <t xml:space="preserve">
Formerly line 45 "Intercampus Circulation - Lending)
</t>
        </r>
      </text>
    </comment>
    <comment ref="C187" authorId="1">
      <text>
        <r>
          <rPr>
            <b/>
            <sz val="8"/>
            <color indexed="81"/>
            <rFont val="Tahoma"/>
            <family val="2"/>
          </rPr>
          <t>Stephanie Brasley:</t>
        </r>
        <r>
          <rPr>
            <sz val="8"/>
            <color indexed="81"/>
            <rFont val="Tahoma"/>
            <family val="2"/>
          </rPr>
          <t xml:space="preserve">
Formerly line 49, "intercampus circulation" - borrowing</t>
        </r>
      </text>
    </comment>
    <comment ref="C197" authorId="1">
      <text>
        <r>
          <rPr>
            <b/>
            <sz val="8"/>
            <color indexed="81"/>
            <rFont val="Tahoma"/>
            <family val="2"/>
          </rPr>
          <t>Stephanie Brasley:</t>
        </r>
        <r>
          <rPr>
            <sz val="8"/>
            <color indexed="81"/>
            <rFont val="Tahoma"/>
            <family val="2"/>
          </rPr>
          <t xml:space="preserve">
Presentations sponsored by Library either on or off-campus.  NOT info. lit. instruction
</t>
        </r>
      </text>
    </comment>
    <comment ref="C201" authorId="1">
      <text>
        <r>
          <rPr>
            <b/>
            <sz val="8"/>
            <color indexed="81"/>
            <rFont val="Tahoma"/>
            <family val="2"/>
          </rPr>
          <t>Stephanie Brasley:</t>
        </r>
        <r>
          <rPr>
            <sz val="8"/>
            <color indexed="81"/>
            <rFont val="Tahoma"/>
            <family val="2"/>
          </rPr>
          <t xml:space="preserve">
Persons attending presentations by library staff on or off-campus. Not Info. Lit.</t>
        </r>
      </text>
    </comment>
    <comment ref="C204" authorId="1">
      <text>
        <r>
          <rPr>
            <b/>
            <sz val="8"/>
            <color indexed="81"/>
            <rFont val="Tahoma"/>
            <family val="2"/>
          </rPr>
          <t>Stephanie Brasley:</t>
        </r>
        <r>
          <rPr>
            <sz val="8"/>
            <color indexed="81"/>
            <rFont val="Tahoma"/>
            <family val="2"/>
          </rPr>
          <t xml:space="preserve">
Head-count enrollment
</t>
        </r>
      </text>
    </comment>
    <comment ref="C243" authorId="1">
      <text>
        <r>
          <rPr>
            <b/>
            <sz val="8"/>
            <color indexed="81"/>
            <rFont val="Tahoma"/>
            <family val="2"/>
          </rPr>
          <t>Stephanie Brasley:</t>
        </r>
        <r>
          <rPr>
            <sz val="8"/>
            <color indexed="81"/>
            <rFont val="Tahoma"/>
            <family val="2"/>
          </rPr>
          <t xml:space="preserve">
Directional. Non-resource based question
</t>
        </r>
      </text>
    </comment>
    <comment ref="D243" authorId="1">
      <text>
        <r>
          <rPr>
            <b/>
            <sz val="8"/>
            <color indexed="81"/>
            <rFont val="Tahoma"/>
            <family val="2"/>
          </rPr>
          <t>Stephanie Brasley:</t>
        </r>
        <r>
          <rPr>
            <sz val="8"/>
            <color indexed="81"/>
            <rFont val="Tahoma"/>
            <family val="2"/>
          </rPr>
          <t xml:space="preserve">
Skills-based question - usually technical. E.g. "how to use the catalog"</t>
        </r>
      </text>
    </comment>
    <comment ref="E243" authorId="1">
      <text>
        <r>
          <rPr>
            <b/>
            <sz val="8"/>
            <color indexed="81"/>
            <rFont val="Tahoma"/>
            <family val="2"/>
          </rPr>
          <t>Stephanie Brasley:</t>
        </r>
        <r>
          <rPr>
            <sz val="8"/>
            <color indexed="81"/>
            <rFont val="Tahoma"/>
            <family val="2"/>
          </rPr>
          <t xml:space="preserve">
Simple Strategy-based question.  E.g. Finding anser to specific reference questions
</t>
        </r>
      </text>
    </comment>
    <comment ref="F243" authorId="1">
      <text>
        <r>
          <rPr>
            <b/>
            <sz val="8"/>
            <color indexed="81"/>
            <rFont val="Tahoma"/>
            <family val="2"/>
          </rPr>
          <t>Stephanie Brasley:</t>
        </r>
        <r>
          <rPr>
            <sz val="8"/>
            <color indexed="81"/>
            <rFont val="Tahoma"/>
            <family val="2"/>
          </rPr>
          <t xml:space="preserve">
Complex questions-requiring multiple answers and resources</t>
        </r>
      </text>
    </comment>
    <comment ref="G243" authorId="1">
      <text>
        <r>
          <rPr>
            <b/>
            <sz val="8"/>
            <color indexed="81"/>
            <rFont val="Tahoma"/>
            <family val="2"/>
          </rPr>
          <t>Stephanie Brasley:</t>
        </r>
        <r>
          <rPr>
            <sz val="8"/>
            <color indexed="81"/>
            <rFont val="Tahoma"/>
            <family val="2"/>
          </rPr>
          <t xml:space="preserve">
Complex questions-requiring multpile answers and resources
</t>
        </r>
      </text>
    </comment>
    <comment ref="C251" authorId="1">
      <text>
        <r>
          <rPr>
            <b/>
            <sz val="8"/>
            <color indexed="81"/>
            <rFont val="Tahoma"/>
            <family val="2"/>
          </rPr>
          <t>Stephanie Brasley:</t>
        </r>
        <r>
          <rPr>
            <sz val="8"/>
            <color indexed="81"/>
            <rFont val="Tahoma"/>
            <family val="2"/>
          </rPr>
          <t xml:space="preserve">
Level 1 and 2 questions answered at desks other than reference.  E.G. Circulation, IT, Information, etc.</t>
        </r>
      </text>
    </comment>
  </commentList>
</comments>
</file>

<file path=xl/sharedStrings.xml><?xml version="1.0" encoding="utf-8"?>
<sst xmlns="http://schemas.openxmlformats.org/spreadsheetml/2006/main" count="10696" uniqueCount="923">
  <si>
    <t>Number</t>
  </si>
  <si>
    <t>Branch and independent libraries - exclude main library</t>
  </si>
  <si>
    <t>FTE</t>
  </si>
  <si>
    <t>2a</t>
  </si>
  <si>
    <t>Librarians (FTE)</t>
  </si>
  <si>
    <t>2b</t>
  </si>
  <si>
    <t>3a</t>
  </si>
  <si>
    <t>Library Assistants (FTE)</t>
  </si>
  <si>
    <t>Category</t>
  </si>
  <si>
    <t>Amount</t>
  </si>
  <si>
    <t>Salaries and Wages - exclude employee fringe benefits (7-9)</t>
  </si>
  <si>
    <t>7a</t>
  </si>
  <si>
    <t>3b</t>
  </si>
  <si>
    <t>3c</t>
  </si>
  <si>
    <t>All other paid staff (except student assistants) (sum of 3a, 3b, 3c)</t>
  </si>
  <si>
    <t>Other paid clerical and support services staff  (FTE)</t>
  </si>
  <si>
    <t>4a</t>
  </si>
  <si>
    <t>Contributed services staff (FTE)</t>
  </si>
  <si>
    <t>7b</t>
  </si>
  <si>
    <t>Librarians (those reported in 2a)</t>
  </si>
  <si>
    <t>8a</t>
  </si>
  <si>
    <t>8b</t>
  </si>
  <si>
    <t>8c</t>
  </si>
  <si>
    <t>Library Assistants (those reported in 3a)</t>
  </si>
  <si>
    <t>Other paid clerical and support services staff (those reported in 3b)</t>
  </si>
  <si>
    <t>Information Technology staff (those reported in 3c)</t>
  </si>
  <si>
    <t>Student assistants from all funding sources (FTE-- include all hours for work study)</t>
  </si>
  <si>
    <t>Student assistants from all funding sources (those reported in 5, include $ paid by Work Study Program)</t>
  </si>
  <si>
    <t>Books - Print</t>
  </si>
  <si>
    <t>Serial backfiles  - Print and electronic (one-time purchases)</t>
  </si>
  <si>
    <t>11a</t>
  </si>
  <si>
    <t>Current serials - Print</t>
  </si>
  <si>
    <t>11b</t>
  </si>
  <si>
    <t>Current serials - Electronic</t>
  </si>
  <si>
    <t>11c</t>
  </si>
  <si>
    <t>Current serials - Microform</t>
  </si>
  <si>
    <t>12a</t>
  </si>
  <si>
    <t>Cartographic Materials</t>
  </si>
  <si>
    <t>12b</t>
  </si>
  <si>
    <t>12c</t>
  </si>
  <si>
    <t>Sound Materials</t>
  </si>
  <si>
    <t>Films/Videos/DVDs</t>
  </si>
  <si>
    <t>14a</t>
  </si>
  <si>
    <t>14b</t>
  </si>
  <si>
    <t>Manuscripts</t>
  </si>
  <si>
    <t>14c</t>
  </si>
  <si>
    <t>Non-serial microforms</t>
  </si>
  <si>
    <t>Archival materials</t>
  </si>
  <si>
    <t>Bindery</t>
  </si>
  <si>
    <t>Employee fringe benefits (if paid from the library budget)</t>
  </si>
  <si>
    <t>Added</t>
  </si>
  <si>
    <t>Withdrawn</t>
  </si>
  <si>
    <t xml:space="preserve">Held </t>
  </si>
  <si>
    <t xml:space="preserve">Books-print, excl. juv's and texts (vols.) </t>
  </si>
  <si>
    <t>Added by purchase (vols)</t>
  </si>
  <si>
    <t>Added by gift (vols.)</t>
  </si>
  <si>
    <t>Bound periodicals (vols.)</t>
  </si>
  <si>
    <t xml:space="preserve">Juvenile works-print (vols.) </t>
  </si>
  <si>
    <t>Textbooks, K-12-print (vols.)</t>
  </si>
  <si>
    <t>Titles- electronic books</t>
  </si>
  <si>
    <t>Info Lit instruction - Non-Students</t>
  </si>
  <si>
    <t>Number of persons served in library orientation/tours</t>
  </si>
  <si>
    <t>Open Hours in a typical week</t>
  </si>
  <si>
    <t>Gate count in a typical week</t>
  </si>
  <si>
    <t>In-Person reference transactions</t>
  </si>
  <si>
    <t>On-call reference transactions</t>
  </si>
  <si>
    <t>Email reference transactions</t>
  </si>
  <si>
    <t>Phone reference transactions</t>
  </si>
  <si>
    <t>Virtual reference (OCLC 24/7, IM) transactions</t>
  </si>
  <si>
    <t>Circulation - initial charges</t>
  </si>
  <si>
    <t>Circulation - renewals</t>
  </si>
  <si>
    <t xml:space="preserve"> Total In House Use - Reshelving</t>
  </si>
  <si>
    <t>CSU borrowers</t>
  </si>
  <si>
    <t>All community borrowers</t>
  </si>
  <si>
    <t>Returnable</t>
  </si>
  <si>
    <t>Non-returnable</t>
  </si>
  <si>
    <t>CSU</t>
  </si>
  <si>
    <t>UC</t>
  </si>
  <si>
    <t>Other</t>
  </si>
  <si>
    <t>Graphic Materials</t>
  </si>
  <si>
    <t>Info Lit instruction -Students</t>
  </si>
  <si>
    <t>Online</t>
  </si>
  <si>
    <t>Synchronous</t>
  </si>
  <si>
    <t>Asynchronous</t>
  </si>
  <si>
    <t>Volunteers (FTE - do not include in 4)</t>
  </si>
  <si>
    <t>Total FTE staff - (sum of Lines 2, 3, 4, 5)</t>
  </si>
  <si>
    <t>Line #</t>
  </si>
  <si>
    <t>Document Delivery/Interlibrary Loans provided/lent to other libraries</t>
  </si>
  <si>
    <t>Document Delivery/Interlibrary Loans received/borrowed from other libraries</t>
  </si>
  <si>
    <t>Part F - LIBRARY SERVICES, TYPICAL WEEK</t>
  </si>
  <si>
    <t>Face to Face</t>
  </si>
  <si>
    <t>25a</t>
  </si>
  <si>
    <t>26a</t>
  </si>
  <si>
    <t>25b</t>
  </si>
  <si>
    <t>26b</t>
  </si>
  <si>
    <t>26c</t>
  </si>
  <si>
    <t>42a</t>
  </si>
  <si>
    <t>42b</t>
  </si>
  <si>
    <t>42c</t>
  </si>
  <si>
    <t>Part E - LIBRARY SERVICES, END OF THE YEAR ANNUAL COUNT</t>
  </si>
  <si>
    <t>43a</t>
  </si>
  <si>
    <t>43b</t>
  </si>
  <si>
    <t>43c</t>
  </si>
  <si>
    <t>Bibliographic utilities, networks, and consortia (OCLC, Amigos, MARCIVE)</t>
  </si>
  <si>
    <t>Other library materials (NOTE: Insert Comment about what is being included here)</t>
  </si>
  <si>
    <t>Digital preservation (do not include equipment &amp; software)</t>
  </si>
  <si>
    <t>Computer hardware and software - include peripherals, digital microform scanners, A/V equipment, maintenance, DocuTek, digital preservation equipment &amp; sofware, )</t>
  </si>
  <si>
    <t>All other operating expenditures (NOTE: Insert Comment to explain what specific expenditures are being included)</t>
  </si>
  <si>
    <t>24a</t>
  </si>
  <si>
    <t>All other paid staff (except student assistants) (sum of 8a-8c)</t>
  </si>
  <si>
    <t>Held</t>
  </si>
  <si>
    <t>1a</t>
  </si>
  <si>
    <t>1b</t>
  </si>
  <si>
    <t>1c</t>
  </si>
  <si>
    <t>1d</t>
  </si>
  <si>
    <t>Study Rooms (NOT run by the library, i.e., run by tenants)</t>
  </si>
  <si>
    <t>Meeting Rooms (NOT run by the library, i.e. run by tenants)</t>
  </si>
  <si>
    <t>Classroom (NOT run by the library, i.e. run by tenants)</t>
  </si>
  <si>
    <t>38a</t>
  </si>
  <si>
    <t>38b</t>
  </si>
  <si>
    <t>38c</t>
  </si>
  <si>
    <t>44a</t>
  </si>
  <si>
    <t>44b</t>
  </si>
  <si>
    <t>44c</t>
  </si>
  <si>
    <t>Print (and other non-electronic format) periodical/serial subscriptions</t>
  </si>
  <si>
    <t>Electronic periodical/serial subscriptions (deduplicated)</t>
  </si>
  <si>
    <t>Print (and other non-electronic format) - Exchanges, gifts, etc.</t>
  </si>
  <si>
    <t>28a</t>
  </si>
  <si>
    <t>Public Service Workstations NOT purchased by the library (within 28a)</t>
  </si>
  <si>
    <t>28b</t>
  </si>
  <si>
    <t>Laptops NOT purchased by the library (within 28b)</t>
  </si>
  <si>
    <t>Self-check out machines NOT purchased by the library (within 28c)</t>
  </si>
  <si>
    <t>Headphones NOT purchased by the library (within 28d)</t>
  </si>
  <si>
    <t>Printers &amp; Photocopiers NOT purchased by the library (within 28e)</t>
  </si>
  <si>
    <t>Digital Cameras (NOT purchased by the library) (within 28f)</t>
  </si>
  <si>
    <t>Flash/Thumb drives (NOT purchased by the library) (within 28g)</t>
  </si>
  <si>
    <t>Other (Scanners, ebook readers, ipods) (NOT purchased by the library) (within 28h)</t>
  </si>
  <si>
    <t>31a</t>
  </si>
  <si>
    <t>31b</t>
  </si>
  <si>
    <t>Government Documents (vols.)</t>
  </si>
  <si>
    <t>Level 1</t>
  </si>
  <si>
    <t>Level 2</t>
  </si>
  <si>
    <t>Level 3</t>
  </si>
  <si>
    <t>Level 4</t>
  </si>
  <si>
    <r>
      <t xml:space="preserve">MPP (FTE) - </t>
    </r>
    <r>
      <rPr>
        <i/>
        <sz val="10"/>
        <rFont val="Arial"/>
        <family val="2"/>
      </rPr>
      <t>Librarians</t>
    </r>
  </si>
  <si>
    <t>2c</t>
  </si>
  <si>
    <r>
      <t xml:space="preserve">MPP (FTE) - </t>
    </r>
    <r>
      <rPr>
        <i/>
        <sz val="10"/>
        <rFont val="Arial"/>
        <family val="2"/>
      </rPr>
      <t>NON-Librarians</t>
    </r>
  </si>
  <si>
    <t>5a</t>
  </si>
  <si>
    <r>
      <t xml:space="preserve">Information Technology staff (FTE) </t>
    </r>
    <r>
      <rPr>
        <b/>
        <sz val="10"/>
        <rFont val="Arial"/>
        <family val="2"/>
      </rPr>
      <t>not</t>
    </r>
    <r>
      <rPr>
        <sz val="10"/>
        <rFont val="Arial"/>
        <family val="2"/>
      </rPr>
      <t xml:space="preserve"> included in 3b</t>
    </r>
  </si>
  <si>
    <t>Comments</t>
  </si>
  <si>
    <t>Student assistants, Work Study (% of FTE listed in 5)</t>
  </si>
  <si>
    <t>MPP (those reported in 2b, 2c)</t>
  </si>
  <si>
    <t>Books - Electronic (e-books - Record Access fees in 11d)</t>
  </si>
  <si>
    <t>Access Fees for Serials/Databases/Aggregators/e-Books</t>
  </si>
  <si>
    <t>14d</t>
  </si>
  <si>
    <r>
      <t xml:space="preserve">   </t>
    </r>
    <r>
      <rPr>
        <sz val="10"/>
        <color indexed="8"/>
        <rFont val="Arial"/>
        <family val="2"/>
      </rPr>
      <t>Cartographic materials</t>
    </r>
  </si>
  <si>
    <t>13a</t>
  </si>
  <si>
    <t>13b</t>
  </si>
  <si>
    <t xml:space="preserve">   Charges incurred - Borrowing (Invoices received from lenders)</t>
  </si>
  <si>
    <t xml:space="preserve">   Charges accrued - Lending (Invoices sent to borrowing libraries)</t>
  </si>
  <si>
    <t xml:space="preserve">   Copyright Fees</t>
  </si>
  <si>
    <t>Campus:</t>
  </si>
  <si>
    <t>Telephone:</t>
  </si>
  <si>
    <t>Fax:</t>
  </si>
  <si>
    <t>Titles- Government Documents - electronic books</t>
  </si>
  <si>
    <t>29a</t>
  </si>
  <si>
    <t>29b</t>
  </si>
  <si>
    <t xml:space="preserve">    Number of hits/visits to the Library's homepage</t>
  </si>
  <si>
    <t xml:space="preserve">    Number of hits/visits to the Library's catalog (Innovative stat)</t>
  </si>
  <si>
    <t>30a</t>
  </si>
  <si>
    <t xml:space="preserve">    Number of sessions (logins) to databases or services</t>
  </si>
  <si>
    <t>30b</t>
  </si>
  <si>
    <t xml:space="preserve">    Number of searches (queries) in databases or services</t>
  </si>
  <si>
    <t>34a</t>
  </si>
  <si>
    <t xml:space="preserve">    Print materials</t>
  </si>
  <si>
    <t>34b</t>
  </si>
  <si>
    <t xml:space="preserve">    E-reserve materials</t>
  </si>
  <si>
    <t>34c</t>
  </si>
  <si>
    <t xml:space="preserve">    Renewals of print reserve materials</t>
  </si>
  <si>
    <t>Number of orientations/tours</t>
  </si>
  <si>
    <t>Library Programming-Cultural, Recreational</t>
  </si>
  <si>
    <t>Info Lit instruction -Students (non credit-bearing)</t>
  </si>
  <si>
    <t>Info Lit instruction - Non-Students (non-credit-bearing)</t>
  </si>
  <si>
    <r>
      <t xml:space="preserve">Staff transactions </t>
    </r>
    <r>
      <rPr>
        <sz val="9"/>
        <rFont val="Arial"/>
        <family val="2"/>
      </rPr>
      <t xml:space="preserve">(Levels 1 &amp; 2 questions-e.g. circulation, info. desk, docents, etc.) </t>
    </r>
  </si>
  <si>
    <t>Title of Respondent:</t>
  </si>
  <si>
    <t>Annotations Key:</t>
  </si>
  <si>
    <t>Zero or none = "0"</t>
  </si>
  <si>
    <t>Estimate submitted = "EST" in comments</t>
  </si>
  <si>
    <t>Data not Available = "NA"</t>
  </si>
  <si>
    <t>Name of Respondent:</t>
  </si>
  <si>
    <t>E-mail:</t>
  </si>
  <si>
    <t>Digital Collections - Construction &amp; Management</t>
  </si>
  <si>
    <t>16b</t>
  </si>
  <si>
    <t>16c</t>
  </si>
  <si>
    <t>25a(1)</t>
  </si>
  <si>
    <t>25a(2)</t>
  </si>
  <si>
    <t>27a</t>
  </si>
  <si>
    <t>Digital Collections - Number of individual collections</t>
  </si>
  <si>
    <t>Digital Collections - Number of items</t>
  </si>
  <si>
    <t>Digital Collections - Size (in Gigabytes)</t>
  </si>
  <si>
    <t>Digital Collections - Use - number of times collections accessed</t>
  </si>
  <si>
    <t>***</t>
  </si>
  <si>
    <t>Outreach - On and Off campus</t>
  </si>
  <si>
    <t>Contact hours of librarian-taught library courses for credit</t>
  </si>
  <si>
    <t>Number of persons served in librarian-taught library courses for credit</t>
  </si>
  <si>
    <t>Furniture and equipment (exclude computer equipment from Line 18)</t>
  </si>
  <si>
    <t>Current serials - Databases, E-serials, Search Services</t>
  </si>
  <si>
    <t xml:space="preserve">   Shipping &amp; Labels (including Link+ labels Tricor for non-CSU deliveries, USPS Mail, UPS, etc...)</t>
  </si>
  <si>
    <t>Provided to CSU libraries</t>
  </si>
  <si>
    <t>Provided to UC libraries</t>
  </si>
  <si>
    <t>Provided to "other" libraries</t>
  </si>
  <si>
    <t>Received from CSU libraries</t>
  </si>
  <si>
    <t>Received from UC libraries</t>
  </si>
  <si>
    <t>Received from "other" libraries</t>
  </si>
  <si>
    <t>Renewals from both CSU and community borrowers</t>
  </si>
  <si>
    <t>Person hours per typical week of professional reference service available</t>
  </si>
  <si>
    <t>Access Fees to Multimedia Services (i.e. streaming video, audio, etc.)</t>
  </si>
  <si>
    <t>Reference Transactions in a Typical Week (sum of 53a-53f)</t>
  </si>
  <si>
    <t>Government documents (electronic and print)</t>
  </si>
  <si>
    <t>Digital Collections (Electronic)</t>
  </si>
  <si>
    <t>Computer Files - Units (Physical units)</t>
  </si>
  <si>
    <t>Other library materials - Units  (Include a comment)</t>
  </si>
  <si>
    <t>Manuscripts and print archives - (in Linear feet) (Physical)</t>
  </si>
  <si>
    <t>Non-serial microforms - Units  (Physical)</t>
  </si>
  <si>
    <t>Serial microforms - Units   (Physical)</t>
  </si>
  <si>
    <t>Government documents not reported elsewhere - Units   (Physical)</t>
  </si>
  <si>
    <t>Public Service Workstations - Total</t>
  </si>
  <si>
    <t>Laptops - Total</t>
  </si>
  <si>
    <t>Number of tenants in library (do not count in 1; branch &amp; independent libraries)</t>
  </si>
  <si>
    <t>Number of study rooms in library (do not count in 1; branch &amp; independent libraries)</t>
  </si>
  <si>
    <t>Number of meeting rooms in library (do not count in 1; branch &amp; independent libraries)</t>
  </si>
  <si>
    <t>Number of classrooms and/or computer labs in library (do not count in 1; branch&amp;indep. Libs)</t>
  </si>
  <si>
    <t>Self-check out machines - Total</t>
  </si>
  <si>
    <t>Headphones - Total</t>
  </si>
  <si>
    <t>Printers &amp; Photocopiers - Total</t>
  </si>
  <si>
    <t>Digital Cameras - Total</t>
  </si>
  <si>
    <t>Flash/Thumb drives - Total</t>
  </si>
  <si>
    <t>Other (Scanners, ebook readers, ipods) - Total</t>
  </si>
  <si>
    <t>Study Rooms (number of times used) (# of actual study rooms is Line 1b) - Total</t>
  </si>
  <si>
    <t>Meeting Rooms (number of times used) (# of actual meeting rooms is Line 1c) - Total</t>
  </si>
  <si>
    <t>Classrooms (or Computer Labs) (number of times used) (# of actual rooms is Line 1d) - Total</t>
  </si>
  <si>
    <t>CSU Libraries Statistics Report, by Campus 2009/10</t>
  </si>
  <si>
    <t>This color signifies the re-numbered lines</t>
  </si>
  <si>
    <t>Librarians and other professional staff (sum of 2a-2d)</t>
  </si>
  <si>
    <t>2d</t>
  </si>
  <si>
    <t>Other professional staff</t>
  </si>
  <si>
    <t>Librarians and other professional staff (sum of 7a-7c)</t>
  </si>
  <si>
    <t>7c</t>
  </si>
  <si>
    <t>Other professional staff (those reported in 2d)</t>
  </si>
  <si>
    <t>Total Salaries and Wages (sum of Lines 7, 8, 9)</t>
  </si>
  <si>
    <t>Information Resources (11-14)</t>
  </si>
  <si>
    <t>One-time purchases of books, serial backfiles, and other materials (sum of 11a-11c)</t>
  </si>
  <si>
    <t>Ongoing commitments to serial subscriptions (e.g. subscriptions, annual license fees) (sum of 12a-12e, not including 12b(1))</t>
  </si>
  <si>
    <t>12b(1)</t>
  </si>
  <si>
    <t>12d</t>
  </si>
  <si>
    <t>12e</t>
  </si>
  <si>
    <t>Audiovisual Materials (sum of 13a-13b)</t>
  </si>
  <si>
    <t>Other expenditures for information resources (sum of 14a-14e)</t>
  </si>
  <si>
    <t xml:space="preserve">   Graphic Materials</t>
  </si>
  <si>
    <t>14e</t>
  </si>
  <si>
    <t>Total Information Resources (sum of Lines 11,12,13,14)</t>
  </si>
  <si>
    <t>MISCELLANEOUS LIBRARY EXPENDITURES (LINES 16-22)</t>
  </si>
  <si>
    <t>Document delivery/interlibrary loan (sum of 16a-16e)</t>
  </si>
  <si>
    <t>16a</t>
  </si>
  <si>
    <r>
      <t xml:space="preserve">   Consortial Resource Sharing Agreements </t>
    </r>
    <r>
      <rPr>
        <sz val="8"/>
        <rFont val="Arial"/>
        <family val="2"/>
      </rPr>
      <t>(including Link+, Circuit, Amigos, etc…)</t>
    </r>
  </si>
  <si>
    <t>16d</t>
  </si>
  <si>
    <t>16e</t>
  </si>
  <si>
    <t>Preservation/binding (sum of 18a-18c)</t>
  </si>
  <si>
    <t xml:space="preserve">18a </t>
  </si>
  <si>
    <t>18b</t>
  </si>
  <si>
    <t>18c</t>
  </si>
  <si>
    <r>
      <rPr>
        <b/>
        <sz val="10"/>
        <rFont val="Arial"/>
        <family val="2"/>
      </rPr>
      <t xml:space="preserve">Total operating expenditures </t>
    </r>
    <r>
      <rPr>
        <sz val="10"/>
        <rFont val="Arial"/>
        <family val="2"/>
      </rPr>
      <t>(sum of Lines 10,15,16,17,18,19, 20, 21 &amp; 22 only)</t>
    </r>
  </si>
  <si>
    <r>
      <rPr>
        <b/>
        <sz val="10"/>
        <rFont val="Arial"/>
        <family val="2"/>
      </rPr>
      <t>Total expenditures</t>
    </r>
    <r>
      <rPr>
        <sz val="10"/>
        <rFont val="Arial"/>
        <family val="2"/>
      </rPr>
      <t xml:space="preserve"> </t>
    </r>
    <r>
      <rPr>
        <b/>
        <sz val="10"/>
        <rFont val="Arial"/>
        <family val="2"/>
      </rPr>
      <t>(sum of 23 and 24a)</t>
    </r>
  </si>
  <si>
    <t>Books, serial backfiles, and government documents accessible through the library's catalog - include bound periodicals and newspapers and exclude microforms (25-26)</t>
  </si>
  <si>
    <t>Volumes-print (sum of 25a-25e)</t>
  </si>
  <si>
    <t>25c</t>
  </si>
  <si>
    <t>25d</t>
  </si>
  <si>
    <t>25e</t>
  </si>
  <si>
    <t>Titles- total print and electronic (sum of 26a-26b)</t>
  </si>
  <si>
    <r>
      <t xml:space="preserve">Total number of serial </t>
    </r>
    <r>
      <rPr>
        <b/>
        <u/>
        <sz val="10"/>
        <rFont val="Arial"/>
        <family val="2"/>
      </rPr>
      <t>titles</t>
    </r>
    <r>
      <rPr>
        <b/>
        <sz val="10"/>
        <rFont val="Arial"/>
        <family val="2"/>
      </rPr>
      <t xml:space="preserve"> currently received, including periodicals, newspapers &amp; government documents (sum of 27a - 27b)</t>
    </r>
  </si>
  <si>
    <t>Number of serial titles currently purchased (sum of 27a(1) &amp; 27a(2))</t>
  </si>
  <si>
    <t>27a(1)</t>
  </si>
  <si>
    <t>27a(2)</t>
  </si>
  <si>
    <t>27b</t>
  </si>
  <si>
    <t>Number of serial titles currently received but not purchased (sum of 27b(1) - 27b(3))</t>
  </si>
  <si>
    <t>27b(1)</t>
  </si>
  <si>
    <t>27b(2)</t>
  </si>
  <si>
    <t>Freely accessible (Open Access) elec.periodicals/serials (deduplicated)</t>
  </si>
  <si>
    <t>27b(3)</t>
  </si>
  <si>
    <t>Audiovisual Materials (sum of 28a-28b) - UNITS</t>
  </si>
  <si>
    <t>Other information resources ( A-K counted each as separate lines)</t>
  </si>
  <si>
    <t>29c</t>
  </si>
  <si>
    <t>29d</t>
  </si>
  <si>
    <t>Non-serial &amp; Serial microforms - Units  (sum of 29d(1) &amp; 29d(2))</t>
  </si>
  <si>
    <t>29d(1)</t>
  </si>
  <si>
    <t>29d(2)</t>
  </si>
  <si>
    <t>29e</t>
  </si>
  <si>
    <t xml:space="preserve">  Digital Collections (Electronic)</t>
  </si>
  <si>
    <t>29f</t>
  </si>
  <si>
    <t>29g</t>
  </si>
  <si>
    <t>29h</t>
  </si>
  <si>
    <t>29i</t>
  </si>
  <si>
    <t>29j</t>
  </si>
  <si>
    <t>29k</t>
  </si>
  <si>
    <t>Number of virtual visits (sum of 30a-30b)</t>
  </si>
  <si>
    <r>
      <t>Number of visits to databases or services (</t>
    </r>
    <r>
      <rPr>
        <b/>
        <sz val="9"/>
        <rFont val="Arial"/>
        <family val="2"/>
      </rPr>
      <t>a and b counted each as separate lines)</t>
    </r>
  </si>
  <si>
    <t>Circulation, Document Delivery, and Interlibrary Loan Transactions (32-43c)</t>
  </si>
  <si>
    <t xml:space="preserve">Recorded Circulation of Collection (sum of 32a, 32b &amp; 35) </t>
  </si>
  <si>
    <t>32a</t>
  </si>
  <si>
    <t>32b</t>
  </si>
  <si>
    <t>Mutual use transactions (sum of 34a - 34c)</t>
  </si>
  <si>
    <t>Reserve collection - recorded circulation (sum of 35a - 35c)</t>
  </si>
  <si>
    <t>35a</t>
  </si>
  <si>
    <t>35b</t>
  </si>
  <si>
    <t>35c</t>
  </si>
  <si>
    <t>ILL provided/lent to other libraries (sum of 38a-38c)</t>
  </si>
  <si>
    <t>Un-mediated Lending (sum of 39a-39c)</t>
  </si>
  <si>
    <t>39a</t>
  </si>
  <si>
    <t>39b</t>
  </si>
  <si>
    <t>39c</t>
  </si>
  <si>
    <t>ILL received/borrowed from other libraries (sum of 42a-42c)</t>
  </si>
  <si>
    <t>Un-mediated borrowing (sum of 43a-43c)</t>
  </si>
  <si>
    <r>
      <t>Information Services</t>
    </r>
    <r>
      <rPr>
        <sz val="10"/>
        <rFont val="Arial"/>
        <family val="2"/>
      </rPr>
      <t xml:space="preserve"> (44-50)</t>
    </r>
  </si>
  <si>
    <r>
      <t>Number of presentations</t>
    </r>
    <r>
      <rPr>
        <sz val="10"/>
        <rFont val="Arial"/>
        <family val="2"/>
      </rPr>
      <t xml:space="preserve"> (sum of 44a-44c)</t>
    </r>
  </si>
  <si>
    <r>
      <t xml:space="preserve">Number of persons served in presentations </t>
    </r>
    <r>
      <rPr>
        <sz val="10"/>
        <rFont val="Arial"/>
        <family val="2"/>
      </rPr>
      <t>(sum of 45a-45c)</t>
    </r>
  </si>
  <si>
    <t>45a</t>
  </si>
  <si>
    <t>45b</t>
  </si>
  <si>
    <t>45c</t>
  </si>
  <si>
    <t>Library Equipment Inventory (sum of  51a-51h only)</t>
  </si>
  <si>
    <t>51a</t>
  </si>
  <si>
    <t>51a(1)</t>
  </si>
  <si>
    <t>51b</t>
  </si>
  <si>
    <t>51b(1)</t>
  </si>
  <si>
    <t>51c</t>
  </si>
  <si>
    <t>51c(1)</t>
  </si>
  <si>
    <t>51d</t>
  </si>
  <si>
    <t>51d(1)</t>
  </si>
  <si>
    <t>51e</t>
  </si>
  <si>
    <t>51e(1)</t>
  </si>
  <si>
    <t>51f</t>
  </si>
  <si>
    <t>51f(1)</t>
  </si>
  <si>
    <t>51g</t>
  </si>
  <si>
    <t>51g(1)</t>
  </si>
  <si>
    <t>51h</t>
  </si>
  <si>
    <t>51h(1)</t>
  </si>
  <si>
    <t>USE: (51i - 51k)</t>
  </si>
  <si>
    <t>51i</t>
  </si>
  <si>
    <t>51i(1)</t>
  </si>
  <si>
    <t>51j</t>
  </si>
  <si>
    <t>51j(1)</t>
  </si>
  <si>
    <t>51k</t>
  </si>
  <si>
    <t>51k(1)</t>
  </si>
  <si>
    <r>
      <t>TOTAL(</t>
    </r>
    <r>
      <rPr>
        <b/>
        <sz val="8"/>
        <rFont val="Arial"/>
        <family val="2"/>
      </rPr>
      <t xml:space="preserve"> 1-4)</t>
    </r>
  </si>
  <si>
    <t>55a</t>
  </si>
  <si>
    <t>55b</t>
  </si>
  <si>
    <t>55c</t>
  </si>
  <si>
    <t>55d</t>
  </si>
  <si>
    <t>55e</t>
  </si>
  <si>
    <t>55f</t>
  </si>
  <si>
    <t>Part A - NUMBER OF PUBLIC SERVICE OUTLETS, FISCAL YEAR 2009/20010</t>
  </si>
  <si>
    <t>Part B - LIBRARY STAFF, FISCAL YEAR 2009/20010</t>
  </si>
  <si>
    <t>Part C - LIBRARY OPERATING EXPENDITURES, FISCAL YEAR 2009/2010</t>
  </si>
  <si>
    <t>Part D - LIBRARY COLLECTIONS, FISCAL YEAR 2009/2010</t>
  </si>
  <si>
    <t>Books - Electronic (e-books - Record Access fees in 12d)</t>
  </si>
  <si>
    <t>Library Equipment Inventory &amp; Use (51a-51k)</t>
  </si>
  <si>
    <t>ProQuest Dissertation Express (SEIR payment)</t>
  </si>
  <si>
    <t>TRICOR only</t>
  </si>
  <si>
    <t>2009 royalties</t>
  </si>
  <si>
    <t>San Francisco</t>
  </si>
  <si>
    <t>Georgianna Wong</t>
  </si>
  <si>
    <t>Library Business Officer</t>
  </si>
  <si>
    <t>gli@sfsu.edu</t>
  </si>
  <si>
    <t>415-338-7328</t>
  </si>
  <si>
    <t>415-338-1504</t>
  </si>
  <si>
    <t>Due Date: October 1, 2010</t>
  </si>
  <si>
    <t>41,221.50 total hours</t>
  </si>
  <si>
    <t>sessions</t>
  </si>
  <si>
    <t>n/a</t>
  </si>
  <si>
    <t>N/A</t>
  </si>
  <si>
    <t xml:space="preserve">    print titles</t>
  </si>
  <si>
    <t>UNK</t>
  </si>
  <si>
    <t>09/10 Held</t>
  </si>
  <si>
    <t>total includes state funds, IRA, and State Grant</t>
  </si>
  <si>
    <t>Cart Caddy</t>
  </si>
  <si>
    <t>(Annex I - temp. bldg. only)</t>
  </si>
  <si>
    <t>supplies &amp; services; storage</t>
  </si>
  <si>
    <t>depository only</t>
  </si>
  <si>
    <t>gifts only</t>
  </si>
  <si>
    <t>Labor Archives purchase</t>
  </si>
  <si>
    <t>thesis fiche; GPs</t>
  </si>
  <si>
    <t>Library building closed Nov. 2008</t>
  </si>
  <si>
    <t>Library building closed Nov. 2008.  Temporary locatiions include 350 study seats in 1 location.</t>
  </si>
  <si>
    <t>Library building closed Nov. 2008.  175 station computer lab &amp; instructional space in temporary location.</t>
  </si>
  <si>
    <t>Due Date: September 24, 2010</t>
  </si>
  <si>
    <t>Bakersfield</t>
  </si>
  <si>
    <t>Eileen Montoya</t>
  </si>
  <si>
    <t>Administrative Assistant to the Dean, University Library</t>
  </si>
  <si>
    <t>emontoya@csub.edu</t>
  </si>
  <si>
    <t>661-654-3042</t>
  </si>
  <si>
    <t>661-654-3238</t>
  </si>
  <si>
    <t>NA</t>
  </si>
  <si>
    <t>Misc. supplies &amp; services</t>
  </si>
  <si>
    <t>Christy?</t>
  </si>
  <si>
    <t>Curt?</t>
  </si>
  <si>
    <t>Estimate</t>
  </si>
  <si>
    <t>Johanna</t>
  </si>
  <si>
    <t>Cal State San Bernardino, John M. Pfau Library</t>
  </si>
  <si>
    <t>Iwona Contreras</t>
  </si>
  <si>
    <t>AAS</t>
  </si>
  <si>
    <t>icontrer@csusb.edu</t>
  </si>
  <si>
    <t>909-537-3447</t>
  </si>
  <si>
    <t>909-537-7048</t>
  </si>
  <si>
    <t>ISO, IRT, WRI departments</t>
  </si>
  <si>
    <t>1 PT and FT temp</t>
  </si>
  <si>
    <t>1 FT temp</t>
  </si>
  <si>
    <t>2 cso officers pay U police</t>
  </si>
  <si>
    <t>including terminal pay</t>
  </si>
  <si>
    <t>includes stipends/shift differential/terminal</t>
  </si>
  <si>
    <t>includes stipends</t>
  </si>
  <si>
    <t>Infotrieve</t>
  </si>
  <si>
    <t xml:space="preserve">and supplies </t>
  </si>
  <si>
    <t>OCLC, Dynamic Systems, III, Marcive</t>
  </si>
  <si>
    <t>vending machine/ supplies, marketing display items, change machine</t>
  </si>
  <si>
    <t>based on III</t>
  </si>
  <si>
    <t>only those with item records counted</t>
  </si>
  <si>
    <t>gathered 7/1/10</t>
  </si>
  <si>
    <t>Millennium</t>
  </si>
  <si>
    <t>SFX, pay only</t>
  </si>
  <si>
    <t>SFX, free only</t>
  </si>
  <si>
    <t>based on historic stats</t>
  </si>
  <si>
    <t>based III</t>
  </si>
  <si>
    <t>Google analytics</t>
  </si>
  <si>
    <t>Google analytics, partial year, 11/9-6/10</t>
  </si>
  <si>
    <t>USTAT Counter-compliant only</t>
  </si>
  <si>
    <t>5 copy machines</t>
  </si>
  <si>
    <t>1 ipod</t>
  </si>
  <si>
    <t>Maritime Academy</t>
  </si>
  <si>
    <t>Noreen Alldredge  |  Mark Stackpole</t>
  </si>
  <si>
    <t>Interim Library Director  |  Library Technologist</t>
  </si>
  <si>
    <t>nalldredge@csum.edu   |  mstackpole@csum.edu</t>
  </si>
  <si>
    <t>707 654-1093  |   707 654-1092</t>
  </si>
  <si>
    <t>707 654-1094</t>
  </si>
  <si>
    <t>csum-dspace.calstate.edu\xmlwi</t>
  </si>
  <si>
    <t>highlander.csum.edu:8080</t>
  </si>
  <si>
    <t>CALIFORNIA STATE UNIVERSITY, EAST BAY</t>
  </si>
  <si>
    <t>SUSAN RATH</t>
  </si>
  <si>
    <t>ACQUISITIONS COORDINATOR</t>
  </si>
  <si>
    <t>susan.rath@csueastbay.edu</t>
  </si>
  <si>
    <t>510-885-3627</t>
  </si>
  <si>
    <t>510-885-4209</t>
  </si>
  <si>
    <t>2-10,2FERP,4TEMP,10FT</t>
  </si>
  <si>
    <t>RA,JG,MG</t>
  </si>
  <si>
    <t>CC,PW</t>
  </si>
  <si>
    <t>ABSORBED BY PROVOST</t>
  </si>
  <si>
    <t>CC &amp; PW</t>
  </si>
  <si>
    <t>$199,234-GENERAL, $10,665 WORK STUDY</t>
  </si>
  <si>
    <t>NEW+REPL+EBOOKS</t>
  </si>
  <si>
    <t>S/O+PER</t>
  </si>
  <si>
    <t>LOCAL SUBS</t>
  </si>
  <si>
    <t>MIC</t>
  </si>
  <si>
    <t>AUX</t>
  </si>
  <si>
    <t>ROSWELL</t>
  </si>
  <si>
    <t>$</t>
  </si>
  <si>
    <t>III MAINTENANCE, MISCELLANEOUS EQUIPMENT</t>
  </si>
  <si>
    <t>OCLC + MARCIVE</t>
  </si>
  <si>
    <t>TRAVEL, PRINTIN, SPEC.TRAINING, MISC</t>
  </si>
  <si>
    <t>ATLASES IN 26A</t>
  </si>
  <si>
    <t>1225 TITLES</t>
  </si>
  <si>
    <t>513 TITLES</t>
  </si>
  <si>
    <t>ELEC TITLES ONLY</t>
  </si>
  <si>
    <t>SFX</t>
  </si>
  <si>
    <t>Sound Materials   (does not include 1 streaming audio title)</t>
  </si>
  <si>
    <t>Films/Videos/DVDs   (does not include 333 streaming video titles)</t>
  </si>
  <si>
    <t>5 lf</t>
  </si>
  <si>
    <t>boxed collections</t>
  </si>
  <si>
    <t>unk</t>
  </si>
  <si>
    <t>56 DBC</t>
  </si>
  <si>
    <t>96 LC</t>
  </si>
  <si>
    <t>32 HAYSTAC</t>
  </si>
  <si>
    <t>9 IT SERV</t>
  </si>
  <si>
    <t>1 ADMIN</t>
  </si>
  <si>
    <t>2 TECH SERV</t>
  </si>
  <si>
    <t>2 EBOOK READERS</t>
  </si>
  <si>
    <t>9 SCANNERS, 5 EXT FLOPPIES,</t>
  </si>
  <si>
    <t>5 MICROFILM READERS</t>
  </si>
  <si>
    <t>3 FAX MACHINES</t>
  </si>
  <si>
    <t>FREE ACCESS</t>
  </si>
  <si>
    <t>Due Date: September 17, 2010</t>
  </si>
  <si>
    <t>Fresno</t>
  </si>
  <si>
    <t>David A. Tyckoson</t>
  </si>
  <si>
    <t>Associate Dean</t>
  </si>
  <si>
    <t>davety@csufresno.edu</t>
  </si>
  <si>
    <t>(559) 278-5678</t>
  </si>
  <si>
    <t>(559) 278-6952</t>
  </si>
  <si>
    <t>Part A - NUMBER OF PUBLIC SERVICE OUTLETS, FISCAL YEAR 2009/2010</t>
  </si>
  <si>
    <t>University Administration, Learning Center, Disabled Student Services, Starbucks</t>
  </si>
  <si>
    <t>8 large, 30 small, 6 Studio 2</t>
  </si>
  <si>
    <t>5 Studio 2, 2 Music</t>
  </si>
  <si>
    <t>Part B - LIBRARY STAFF, FISCAL YEAR 2009/2010</t>
  </si>
  <si>
    <t>unknown</t>
  </si>
  <si>
    <t>Link+</t>
  </si>
  <si>
    <t>as of 8/26/10</t>
  </si>
  <si>
    <t>as of 8/20/10</t>
  </si>
  <si>
    <t>Carol supplies</t>
  </si>
  <si>
    <t>System does not track renewals separately from initial charges</t>
  </si>
  <si>
    <t>estimate</t>
  </si>
  <si>
    <t>Library Equipment Inventory &amp; Circulation Transactions (51..)</t>
  </si>
  <si>
    <t>Fullerton</t>
  </si>
  <si>
    <t>Sara Zaidi</t>
  </si>
  <si>
    <t>Administrative Analyst Specialist</t>
  </si>
  <si>
    <t>szaidi@fullerton.edu</t>
  </si>
  <si>
    <t>657-278-4067</t>
  </si>
  <si>
    <t>Irvine Campus Library</t>
  </si>
  <si>
    <t>Honors, Emeriti, IT, Education PACS, University Learning Center, Writing Center, Oral &amp; Public History</t>
  </si>
  <si>
    <t>IT (3); Circ (16); AVCMC (4)(5 AV)</t>
  </si>
  <si>
    <t>PLN 130</t>
  </si>
  <si>
    <t>Oral History, Titan Lab, 103, 303, 420, PACS</t>
  </si>
  <si>
    <t>OCLC charges</t>
  </si>
  <si>
    <t>95% of postage charges</t>
  </si>
  <si>
    <t>includes Infotrieve and RightsLink</t>
  </si>
  <si>
    <t>from Patrons of the Library funds for Boswell map collection</t>
  </si>
  <si>
    <t>some supplies are in line 22</t>
  </si>
  <si>
    <t>no commercial binding</t>
  </si>
  <si>
    <t>Innovative, Ares, Verde, software, maintenance, etc.</t>
  </si>
  <si>
    <t>misc supplies, printing, phys plnt wrk orders, copiers, travel, phone, repairs</t>
  </si>
  <si>
    <t>includes only bound volumes at this time</t>
  </si>
  <si>
    <t>Held included in 25a and 25b respectively</t>
  </si>
  <si>
    <t>NOT sum of 26a and 26b</t>
  </si>
  <si>
    <t>Summer</t>
  </si>
  <si>
    <t xml:space="preserve"> </t>
  </si>
  <si>
    <t>Added are print only</t>
  </si>
  <si>
    <t>includes atlases per AACR2 definition</t>
  </si>
  <si>
    <t>held included in 29d</t>
  </si>
  <si>
    <t>http://boswell.library.fullerton.edu/</t>
  </si>
  <si>
    <t>EST mainly uncat in SpecColl.</t>
  </si>
  <si>
    <t>remote visits only; estimate</t>
  </si>
  <si>
    <t>EST</t>
  </si>
  <si>
    <t>includes docs</t>
  </si>
  <si>
    <t>RIGHTSLINK, EST</t>
  </si>
  <si>
    <t>PLN130</t>
  </si>
  <si>
    <t>PLS 299 only</t>
  </si>
  <si>
    <t>Reference Transactions in a Typical Week (sum of 55a-55f)</t>
  </si>
  <si>
    <t>included above</t>
  </si>
  <si>
    <t>Extended to October 1, 2010</t>
  </si>
  <si>
    <t>Humboldt State University</t>
  </si>
  <si>
    <t>Kellee S. Johnson</t>
  </si>
  <si>
    <t>Administrative Support Coordinator II</t>
  </si>
  <si>
    <t>Data not Available/Estimate not Possible = "NA"</t>
  </si>
  <si>
    <t>kellee.johnson@humboldt.edu</t>
  </si>
  <si>
    <t>Data not collected = "UNK"</t>
  </si>
  <si>
    <t>707-826-3441</t>
  </si>
  <si>
    <t>RED</t>
  </si>
  <si>
    <t>707-826-3440</t>
  </si>
  <si>
    <r>
      <t>All other operating expenditures (</t>
    </r>
    <r>
      <rPr>
        <b/>
        <sz val="10"/>
        <rFont val="Arial"/>
        <family val="2"/>
      </rPr>
      <t>NOTE: Insert Comment to explain what specific expenditures are being included</t>
    </r>
    <r>
      <rPr>
        <sz val="10"/>
        <rFont val="Arial"/>
        <family val="2"/>
      </rPr>
      <t>)</t>
    </r>
  </si>
  <si>
    <t>Supplies, Telecomm, Work Orders, Travel, Postage, Insurance, Printing.</t>
  </si>
  <si>
    <t>na</t>
  </si>
  <si>
    <t>6.5 GB</t>
  </si>
  <si>
    <t>Public Service Workstations NOT purchased by the library (within 51a)</t>
  </si>
  <si>
    <t>Laptops NOT purchased by the library (within 51b)</t>
  </si>
  <si>
    <t>Self-check out machines NOT purchased by the library (within 51c)</t>
  </si>
  <si>
    <t>Headphones NOT purchased by the library (within 51d)</t>
  </si>
  <si>
    <t>Printers &amp; Photocopiers NOT purchased by the library (within 51e)</t>
  </si>
  <si>
    <t>Digital Cameras (NOT purchased by the library) (within 51f)</t>
  </si>
  <si>
    <t>Flash/Thumb drives (NOT purchased by the library) (within 51g)</t>
  </si>
  <si>
    <t>Other (Scanners, ebook readers, ipods) (NOT purchased by the library) (within 51h)</t>
  </si>
  <si>
    <t>COMMENTS:</t>
  </si>
  <si>
    <r>
      <rPr>
        <b/>
        <sz val="10"/>
        <rFont val="Arial"/>
        <family val="2"/>
      </rPr>
      <t>1a</t>
    </r>
    <r>
      <rPr>
        <sz val="10"/>
        <rFont val="Arial"/>
        <family val="2"/>
      </rPr>
      <t xml:space="preserve"> Library Staff/SDRC/Education/Auxillary Offices/Help Desk/ITS Staff/Emeritus President</t>
    </r>
  </si>
  <si>
    <r>
      <rPr>
        <b/>
        <sz val="10"/>
        <rFont val="Arial"/>
        <family val="2"/>
      </rPr>
      <t>1b</t>
    </r>
    <r>
      <rPr>
        <sz val="10"/>
        <rFont val="Arial"/>
        <family val="2"/>
      </rPr>
      <t xml:space="preserve"> These study rooms are, 114,115,116,117,208,209,311,312,314</t>
    </r>
  </si>
  <si>
    <r>
      <rPr>
        <b/>
        <sz val="10"/>
        <rFont val="Arial"/>
        <family val="2"/>
      </rPr>
      <t>1c</t>
    </r>
    <r>
      <rPr>
        <sz val="10"/>
        <rFont val="Arial"/>
        <family val="2"/>
      </rPr>
      <t xml:space="preserve"> Room 107</t>
    </r>
  </si>
  <si>
    <r>
      <rPr>
        <b/>
        <sz val="10"/>
        <rFont val="Arial"/>
        <family val="2"/>
      </rPr>
      <t>1d</t>
    </r>
    <r>
      <rPr>
        <sz val="10"/>
        <rFont val="Arial"/>
        <family val="2"/>
      </rPr>
      <t xml:space="preserve"> Rooms 21,121,122,310</t>
    </r>
  </si>
  <si>
    <r>
      <rPr>
        <b/>
        <sz val="10"/>
        <rFont val="Arial"/>
        <family val="2"/>
      </rPr>
      <t>5</t>
    </r>
    <r>
      <rPr>
        <sz val="10"/>
        <rFont val="Arial"/>
        <family val="2"/>
      </rPr>
      <t xml:space="preserve"> Total hours from 6/30 YTD report, divide by 50 weeks (weeks per year students typically work), Divide by 40 (work week hours)=FTE</t>
    </r>
  </si>
  <si>
    <r>
      <rPr>
        <b/>
        <sz val="10"/>
        <rFont val="Arial"/>
        <family val="2"/>
      </rPr>
      <t>5a</t>
    </r>
    <r>
      <rPr>
        <sz val="10"/>
        <rFont val="Arial"/>
        <family val="2"/>
      </rPr>
      <t xml:space="preserve"> Total WS hours from 6/30 report, divide by 50 weeks (weeks per year students typically work). Divide by 40 (work week hours) = FTE</t>
    </r>
  </si>
  <si>
    <r>
      <rPr>
        <b/>
        <sz val="10"/>
        <rFont val="Arial"/>
        <family val="2"/>
      </rPr>
      <t xml:space="preserve">12d </t>
    </r>
    <r>
      <rPr>
        <sz val="10"/>
        <rFont val="Arial"/>
        <family val="2"/>
      </rPr>
      <t>Should be N/A but changed to 0 so cell 60C calculates correctly.</t>
    </r>
  </si>
  <si>
    <r>
      <rPr>
        <b/>
        <sz val="10"/>
        <rFont val="Arial"/>
        <family val="2"/>
      </rPr>
      <t xml:space="preserve">12e </t>
    </r>
    <r>
      <rPr>
        <sz val="10"/>
        <rFont val="Arial"/>
        <family val="2"/>
      </rPr>
      <t>Should be N/A but changed to 0 so cell 60C calculates correctly.</t>
    </r>
  </si>
  <si>
    <r>
      <rPr>
        <b/>
        <sz val="10"/>
        <rFont val="Arial"/>
        <family val="2"/>
      </rPr>
      <t xml:space="preserve">25a(1) </t>
    </r>
    <r>
      <rPr>
        <sz val="10"/>
        <rFont val="Arial"/>
        <family val="2"/>
      </rPr>
      <t>combination of cataloging and periodicals</t>
    </r>
  </si>
  <si>
    <r>
      <rPr>
        <b/>
        <sz val="10"/>
        <rFont val="Arial"/>
        <family val="2"/>
      </rPr>
      <t xml:space="preserve">25e </t>
    </r>
    <r>
      <rPr>
        <sz val="10"/>
        <rFont val="Arial"/>
        <family val="2"/>
      </rPr>
      <t>D110 is UNK but put 0 for formula calculations</t>
    </r>
  </si>
  <si>
    <r>
      <rPr>
        <b/>
        <sz val="10"/>
        <rFont val="Arial"/>
        <family val="2"/>
      </rPr>
      <t xml:space="preserve">26a </t>
    </r>
    <r>
      <rPr>
        <sz val="10"/>
        <rFont val="Arial"/>
        <family val="2"/>
      </rPr>
      <t>collected by month thru 6/30/10</t>
    </r>
  </si>
  <si>
    <r>
      <rPr>
        <b/>
        <sz val="9"/>
        <rFont val="Arial"/>
        <family val="2"/>
      </rPr>
      <t xml:space="preserve">27a(1) </t>
    </r>
    <r>
      <rPr>
        <sz val="9"/>
        <rFont val="Arial"/>
        <family val="2"/>
      </rPr>
      <t xml:space="preserve"> 232 print + electronic combination not included</t>
    </r>
  </si>
  <si>
    <r>
      <t xml:space="preserve">29c </t>
    </r>
    <r>
      <rPr>
        <sz val="10"/>
        <rFont val="Arial"/>
        <family val="2"/>
      </rPr>
      <t>Public Affairs Collection</t>
    </r>
  </si>
  <si>
    <r>
      <rPr>
        <b/>
        <sz val="10"/>
        <rFont val="Arial"/>
        <family val="2"/>
      </rPr>
      <t>29d(1)</t>
    </r>
    <r>
      <rPr>
        <sz val="10"/>
        <rFont val="Arial"/>
        <family val="2"/>
      </rPr>
      <t xml:space="preserve"> and</t>
    </r>
    <r>
      <rPr>
        <b/>
        <sz val="10"/>
        <rFont val="Arial"/>
        <family val="2"/>
      </rPr>
      <t xml:space="preserve"> 29d(2)</t>
    </r>
    <r>
      <rPr>
        <sz val="10"/>
        <rFont val="Arial"/>
        <family val="2"/>
      </rPr>
      <t xml:space="preserve"> have been switched to correctly report serial from non-serial microforms.  08-09  reported incorrectly. </t>
    </r>
  </si>
  <si>
    <r>
      <t xml:space="preserve">29f Notes: </t>
    </r>
    <r>
      <rPr>
        <sz val="10"/>
        <rFont val="Arial"/>
        <family val="2"/>
      </rPr>
      <t>Collections are listed on Humboldt room pages and Humboldt Digital Scholar is listed as one collection.</t>
    </r>
  </si>
  <si>
    <r>
      <rPr>
        <b/>
        <sz val="10"/>
        <rFont val="Arial"/>
        <family val="2"/>
      </rPr>
      <t xml:space="preserve">29g </t>
    </r>
    <r>
      <rPr>
        <sz val="10"/>
        <rFont val="Arial"/>
        <family val="2"/>
      </rPr>
      <t xml:space="preserve">Humboldt digital scholar is 462 items. Humboldt room photos are 4,944.   </t>
    </r>
  </si>
  <si>
    <t xml:space="preserve">29g  </t>
  </si>
  <si>
    <t>http://library.humboldt.edu/humco/holdings/photocoll.htm</t>
  </si>
  <si>
    <t>http://humboldt-dspace.calstate.edu/</t>
  </si>
  <si>
    <r>
      <rPr>
        <b/>
        <sz val="10"/>
        <rFont val="Arial"/>
        <family val="2"/>
      </rPr>
      <t xml:space="preserve">29h </t>
    </r>
    <r>
      <rPr>
        <sz val="10"/>
        <rFont val="Arial"/>
        <family val="2"/>
      </rPr>
      <t>Data is only what is held in humco photos. The Humboldt digital scholar data is hosted by the chancellor's office. Not available at this time.</t>
    </r>
  </si>
  <si>
    <r>
      <rPr>
        <b/>
        <sz val="11"/>
        <rFont val="Calibri"/>
        <family val="2"/>
      </rPr>
      <t xml:space="preserve">29i </t>
    </r>
    <r>
      <rPr>
        <sz val="11"/>
        <rFont val="Calibri"/>
        <family val="2"/>
      </rPr>
      <t>Searches 40,503, Items displayed 138,261  Humbolt room photos only.  HDS stats are missing.</t>
    </r>
  </si>
  <si>
    <r>
      <rPr>
        <b/>
        <sz val="10"/>
        <rFont val="Arial"/>
        <family val="2"/>
      </rPr>
      <t xml:space="preserve">29k </t>
    </r>
    <r>
      <rPr>
        <sz val="10"/>
        <rFont val="Arial"/>
        <family val="2"/>
      </rPr>
      <t>Pamphlets/Special Collections</t>
    </r>
  </si>
  <si>
    <r>
      <rPr>
        <b/>
        <sz val="10"/>
        <rFont val="Arial"/>
        <family val="2"/>
      </rPr>
      <t xml:space="preserve">34b </t>
    </r>
    <r>
      <rPr>
        <sz val="10"/>
        <rFont val="Arial"/>
        <family val="2"/>
      </rPr>
      <t>Note: HSU only has mutual use with other CSU's - local community colleges get courtesy cards</t>
    </r>
  </si>
  <si>
    <r>
      <rPr>
        <b/>
        <sz val="10"/>
        <rFont val="Arial"/>
        <family val="2"/>
      </rPr>
      <t xml:space="preserve">35c </t>
    </r>
    <r>
      <rPr>
        <sz val="10"/>
        <rFont val="Arial"/>
        <family val="2"/>
      </rPr>
      <t>Note:  Unable to break out renewal numbers from total print reserve transactions</t>
    </r>
  </si>
  <si>
    <r>
      <rPr>
        <b/>
        <sz val="10"/>
        <rFont val="Arial"/>
        <family val="2"/>
      </rPr>
      <t xml:space="preserve">50 </t>
    </r>
    <r>
      <rPr>
        <sz val="10"/>
        <rFont val="Arial"/>
        <family val="2"/>
      </rPr>
      <t>fliers/posters, website, Twitter, Facebook, Book of the Year, blog, YouTube channel, video tutorials, posters, displays/exhibits,</t>
    </r>
  </si>
  <si>
    <t xml:space="preserve">   news items, Housing Workshop series, members of campus committees, poetry readings, presentations at dept. faculty meetings, </t>
  </si>
  <si>
    <t xml:space="preserve">   book signings, open   house</t>
  </si>
  <si>
    <t>California State University, Long Beach</t>
  </si>
  <si>
    <t>Sharlene LaForge</t>
  </si>
  <si>
    <t>SFX &amp; OPAC Coordinator</t>
  </si>
  <si>
    <t>sharlene@csulb.edu</t>
  </si>
  <si>
    <t>(562) 985-8188</t>
  </si>
  <si>
    <t>Monterey Bay</t>
  </si>
  <si>
    <t>Bill Robnett</t>
  </si>
  <si>
    <t>Library Director</t>
  </si>
  <si>
    <t>brobnett@csumb.edu</t>
  </si>
  <si>
    <t>831-582-4448</t>
  </si>
  <si>
    <t>831-582-3354</t>
  </si>
  <si>
    <t>postage, travel, authority control, registrations, database migration, recruiement, maintenance</t>
  </si>
  <si>
    <t>California State University, Northridge</t>
  </si>
  <si>
    <t>Marianne Afifi</t>
  </si>
  <si>
    <t>Library Associate Dean</t>
  </si>
  <si>
    <t>marianne.afifi@csun.edu</t>
  </si>
  <si>
    <t>(818) 677-2272</t>
  </si>
  <si>
    <t>(818) 677-2676</t>
  </si>
  <si>
    <t>Number of classrooms and/or computer labs in library (do not count in 1; branch &amp; independent libraries)</t>
  </si>
  <si>
    <t>Sierra Hall Computer Lab</t>
  </si>
  <si>
    <t>Some fees paid in advance 3-5 years ago - not included in figure.</t>
  </si>
  <si>
    <t>Expenditures are split between ACQ and ILL.  We only expend money in this area when we replenish Ingenta accounts for document delivery.  There were no replenishments in 2009/2010.</t>
  </si>
  <si>
    <t>Comment</t>
  </si>
  <si>
    <t>All 'added' figures are net difference this year-last year; we don't keep added / withdrawn stats.</t>
  </si>
  <si>
    <t>Titles- total print and electronic (sum of 26a-26c)</t>
  </si>
  <si>
    <t>Titles - print</t>
  </si>
  <si>
    <t>http://digital-library.csun.edu</t>
  </si>
  <si>
    <t>Digital Collections (non-archival materials only) - Size (in Gigabytes)</t>
  </si>
  <si>
    <t>29h-1</t>
  </si>
  <si>
    <t>Digital Collections (including archival materials) - Size (in Gigabytes)</t>
  </si>
  <si>
    <t>Tours, orientations, lectures, booths, displays, handouts, fliers, brochures…to name some methods.</t>
  </si>
  <si>
    <t>Admin. and 3rd floor Conference Rms., Presentation Rm., and 102C.</t>
  </si>
  <si>
    <t>Levels 1-4</t>
  </si>
  <si>
    <t>Total</t>
  </si>
  <si>
    <t>POMONA</t>
  </si>
  <si>
    <t>Cheryl Meaux</t>
  </si>
  <si>
    <t>Budget Analyst</t>
  </si>
  <si>
    <t>cameaux@csupomona.edu</t>
  </si>
  <si>
    <t>(909) 869-3086</t>
  </si>
  <si>
    <t>(909) 869-6922</t>
  </si>
  <si>
    <t>Includes Supplies &amp; Services, Travel, Telephone, Wireless Comm. &amp; Postage</t>
  </si>
  <si>
    <t>Per survey instructions #26 stands on its own. We manually removed the formula for #26 and input data.</t>
  </si>
  <si>
    <t>Data gathered 07/6/10 (snanpshot total at that date)</t>
  </si>
  <si>
    <t>Do not have data for 27a(2) added or w/d</t>
  </si>
  <si>
    <t>Do not have data for 27b(2) added or w/d</t>
  </si>
  <si>
    <t>No digital collections at this time</t>
  </si>
  <si>
    <t>Electronic audio titles (from a music database)</t>
  </si>
  <si>
    <t>Sacramento</t>
  </si>
  <si>
    <t>Charlotte Xanders</t>
  </si>
  <si>
    <t>Head, Bibliographic Control Department</t>
  </si>
  <si>
    <t>xanders@csus.edu</t>
  </si>
  <si>
    <t>916-278-5451</t>
  </si>
  <si>
    <t>916-278-4160</t>
  </si>
  <si>
    <t>models-kits</t>
  </si>
  <si>
    <t>Supplies and services, telephone, travel, postage, printing, contractual services (non-computer), building work orders, non public photocopies.</t>
  </si>
  <si>
    <t>State general, lottery, trust, and foundation funds.</t>
  </si>
  <si>
    <t>not able to display correctly?</t>
  </si>
  <si>
    <t>36251 via SFX</t>
  </si>
  <si>
    <t>via SFX</t>
  </si>
  <si>
    <t>Due Date: October 8, 2010</t>
    <phoneticPr fontId="0" type="noConversion"/>
  </si>
  <si>
    <t>Mark Lester</t>
    <phoneticPr fontId="0" type="noConversion"/>
  </si>
  <si>
    <t>Director, Access, Administrative Operations and Communication</t>
    <phoneticPr fontId="0" type="noConversion"/>
  </si>
  <si>
    <t>mlester@mail.sdsu.edu</t>
  </si>
  <si>
    <t>619-594-4122</t>
    <phoneticPr fontId="0" type="noConversion"/>
  </si>
  <si>
    <t>619-594-2700</t>
    <phoneticPr fontId="0" type="noConversion"/>
  </si>
  <si>
    <r>
      <t xml:space="preserve">MPP (FTE) - </t>
    </r>
    <r>
      <rPr>
        <i/>
        <sz val="11"/>
        <rFont val="Arial"/>
        <family val="2"/>
      </rPr>
      <t>Librarians</t>
    </r>
  </si>
  <si>
    <r>
      <t xml:space="preserve">MPP (FTE) - </t>
    </r>
    <r>
      <rPr>
        <i/>
        <sz val="11"/>
        <rFont val="Arial"/>
        <family val="2"/>
      </rPr>
      <t>NON-Librarians</t>
    </r>
  </si>
  <si>
    <r>
      <t xml:space="preserve">Information Technology staff (FTE) </t>
    </r>
    <r>
      <rPr>
        <b/>
        <sz val="11"/>
        <rFont val="Arial"/>
        <family val="2"/>
      </rPr>
      <t>not</t>
    </r>
    <r>
      <rPr>
        <sz val="11"/>
        <rFont val="Arial"/>
        <family val="2"/>
      </rPr>
      <t xml:space="preserve"> included in 3b</t>
    </r>
  </si>
  <si>
    <t>Current serials - Print</t>
    <phoneticPr fontId="0" type="noConversion"/>
  </si>
  <si>
    <t>12b</t>
    <phoneticPr fontId="0" type="noConversion"/>
  </si>
  <si>
    <r>
      <t xml:space="preserve">   </t>
    </r>
    <r>
      <rPr>
        <sz val="11"/>
        <color indexed="8"/>
        <rFont val="Arial"/>
        <family val="2"/>
      </rPr>
      <t>Cartographic materials</t>
    </r>
  </si>
  <si>
    <t xml:space="preserve">   Consortial Resource Sharing Agreements (including Link+, Circuit, Amigos, etc…)</t>
    <phoneticPr fontId="0" type="noConversion"/>
  </si>
  <si>
    <t>UCSD Agreement, III for Link+ &amp; Circuit, and...</t>
    <phoneticPr fontId="0" type="noConversion"/>
  </si>
  <si>
    <t xml:space="preserve">   Shipping &amp; Labels (including Link+ labels Tricor for non-CSU deliveries, USPS Mail, UPS, etc...)</t>
    <phoneticPr fontId="0" type="noConversion"/>
  </si>
  <si>
    <t>Tricor for Link+ &amp; Circuit, Uline &amp; Office Max Shippling Supplies</t>
    <phoneticPr fontId="0" type="noConversion"/>
  </si>
  <si>
    <t xml:space="preserve">   Charges incurred - Borrowing (Invoices received from lenders)</t>
    <phoneticPr fontId="0" type="noConversion"/>
  </si>
  <si>
    <t>ILL Invoices, ILL Portion of OCLC, ILL Checks, &amp; ILL PCC Charges</t>
    <phoneticPr fontId="0" type="noConversion"/>
  </si>
  <si>
    <t>Phone, Phys Plant, Reprog, Omax, Insurance, Gas, Development, Supplies, etc.</t>
    <phoneticPr fontId="0" type="noConversion"/>
  </si>
  <si>
    <t>Total operating expenditures (sum of Lines 10,15,16,17,18,19, 20, 21 &amp; 22 only)</t>
  </si>
  <si>
    <r>
      <t xml:space="preserve">Total expenditures </t>
    </r>
    <r>
      <rPr>
        <b/>
        <sz val="11"/>
        <rFont val="Arial"/>
        <family val="2"/>
      </rPr>
      <t>(sum of 23 and 24a)</t>
    </r>
  </si>
  <si>
    <r>
      <t xml:space="preserve">Total number of serial </t>
    </r>
    <r>
      <rPr>
        <b/>
        <u/>
        <sz val="11"/>
        <rFont val="Arial"/>
        <family val="2"/>
      </rPr>
      <t>titles</t>
    </r>
    <r>
      <rPr>
        <b/>
        <sz val="11"/>
        <rFont val="Arial"/>
        <family val="2"/>
      </rPr>
      <t xml:space="preserve"> currently received, including periodicals, newspapers &amp; government documents (sum of 27a - 27b)</t>
    </r>
  </si>
  <si>
    <t>Number of serial titles currently received but not purchased (sum of 27b(1) - 27b(3))</t>
    <phoneticPr fontId="0" type="noConversion"/>
  </si>
  <si>
    <t>Print (and other non-electronic format) - Exchanges, gifts, etc.</t>
    <phoneticPr fontId="0" type="noConversion"/>
  </si>
  <si>
    <t>Freely accessible (Open Access) elec.periodicals/serials (deduplicated)</t>
    <phoneticPr fontId="0" type="noConversion"/>
  </si>
  <si>
    <t>NA</t>
    <phoneticPr fontId="0" type="noConversion"/>
  </si>
  <si>
    <t>EST</t>
    <phoneticPr fontId="0" type="noConversion"/>
  </si>
  <si>
    <t>http://infodome.sdsu.edu/projects/</t>
  </si>
  <si>
    <t>http://sdsu-dspace.calstate.edu/</t>
  </si>
  <si>
    <t>Number of visits to databases or services (a and b counted each as separate lines)</t>
    <phoneticPr fontId="0" type="noConversion"/>
  </si>
  <si>
    <r>
      <t>Information Services</t>
    </r>
    <r>
      <rPr>
        <sz val="11"/>
        <rFont val="Arial"/>
        <family val="2"/>
      </rPr>
      <t xml:space="preserve"> (44-50)</t>
    </r>
  </si>
  <si>
    <r>
      <t>Number of presentations</t>
    </r>
    <r>
      <rPr>
        <sz val="11"/>
        <rFont val="Arial"/>
        <family val="2"/>
      </rPr>
      <t xml:space="preserve"> (sum of 44a-44c)</t>
    </r>
  </si>
  <si>
    <r>
      <t xml:space="preserve">Number of persons served in presentations </t>
    </r>
    <r>
      <rPr>
        <sz val="11"/>
        <rFont val="Arial"/>
        <family val="2"/>
      </rPr>
      <t>(sum of 45a-45c)</t>
    </r>
  </si>
  <si>
    <t>EST</t>
    <phoneticPr fontId="0" type="noConversion"/>
  </si>
  <si>
    <t>TOTAL( 1-4)</t>
  </si>
  <si>
    <t xml:space="preserve">Staff transactions (Levels 1 &amp; 2 questions-e.g. circulation, info. desk, docents, etc.) </t>
  </si>
  <si>
    <t>San Diego</t>
  </si>
  <si>
    <t>Cal Poly, San Luis Obispo</t>
  </si>
  <si>
    <t>Susan Bratcher</t>
  </si>
  <si>
    <t>Assistant to the Dean, Kennedy Library, Cal Poly, SLO</t>
  </si>
  <si>
    <t>sbratche@calpoly.edu</t>
  </si>
  <si>
    <t>805.756.5785</t>
  </si>
  <si>
    <t>805.756.2346</t>
  </si>
  <si>
    <t>Counted in total of 25a</t>
  </si>
  <si>
    <t>http:digitalcommons.calpoly.edu; http://digital.lib.calpoly.edu/cdm4/</t>
  </si>
  <si>
    <t>San Marcos</t>
  </si>
  <si>
    <t>Catherine S. Herlihy</t>
  </si>
  <si>
    <t>Interim Associate Dean</t>
  </si>
  <si>
    <t>kherlihy@csusm.edu</t>
  </si>
  <si>
    <t>760-750-4372</t>
  </si>
  <si>
    <t>760-750-3318</t>
  </si>
  <si>
    <t>Not all controlled by Library</t>
  </si>
  <si>
    <t>12 TT fac 1 adjunct</t>
  </si>
  <si>
    <t>Dean &amp; Assoc Dean</t>
  </si>
  <si>
    <t>includes LOC Reimb</t>
  </si>
  <si>
    <t>Substantial credit 0910</t>
  </si>
  <si>
    <t>*Line 55f: Fall #s included all Access Points; Spring #s only RHD</t>
  </si>
  <si>
    <t>San Jose State University</t>
  </si>
  <si>
    <t>Ruth Kifer</t>
  </si>
  <si>
    <t>Dean, University Library</t>
  </si>
  <si>
    <t>Ruth.Kifer@sjsu.edu</t>
  </si>
  <si>
    <t>(408) 808-2141</t>
  </si>
  <si>
    <t>(408) 808-2036</t>
  </si>
  <si>
    <t>Sonoma State University</t>
  </si>
  <si>
    <t>Mike Kiraly</t>
  </si>
  <si>
    <t>Director of Library Operations</t>
  </si>
  <si>
    <t>mike.kiraly@sonoma.edu</t>
  </si>
  <si>
    <t>707.664.4153</t>
  </si>
  <si>
    <t>707.664.2090</t>
  </si>
  <si>
    <t>x</t>
  </si>
  <si>
    <t xml:space="preserve">Serial Solutions </t>
  </si>
  <si>
    <t>California State University, Stanislaus</t>
  </si>
  <si>
    <t>Loretta Blakeley</t>
  </si>
  <si>
    <t>Library Administrative Support Coordinator</t>
  </si>
  <si>
    <t>lblakeley@csustan.edu</t>
  </si>
  <si>
    <t>209-667-3232</t>
  </si>
  <si>
    <t>209-667-3164</t>
  </si>
  <si>
    <t>Subset of 12b</t>
  </si>
  <si>
    <t>Mixed media</t>
  </si>
  <si>
    <r>
      <t>No. of visits to databases or services (</t>
    </r>
    <r>
      <rPr>
        <b/>
        <sz val="9"/>
        <rFont val="Arial"/>
        <family val="2"/>
      </rPr>
      <t>a &amp; b counted each as separate lines)</t>
    </r>
  </si>
  <si>
    <t>TOTAL</t>
  </si>
  <si>
    <t>(1-4)</t>
  </si>
  <si>
    <t>CSU Dominguez Hills</t>
  </si>
  <si>
    <t>Jo Ellen Davis</t>
  </si>
  <si>
    <t>Manager of Administrative Services</t>
  </si>
  <si>
    <t>jedavis@csudh.edu</t>
  </si>
  <si>
    <t>310-243-2207</t>
  </si>
  <si>
    <t>310-516-4219</t>
  </si>
  <si>
    <t>Not held in library</t>
  </si>
  <si>
    <t>Supplies, repairs, maint., chargebacks, printing</t>
  </si>
  <si>
    <t>State University</t>
  </si>
  <si>
    <t>CSU Los Angeles</t>
  </si>
  <si>
    <t>Joanne Tsuyuki</t>
  </si>
  <si>
    <t>Library Administrative Services Officer</t>
  </si>
  <si>
    <t>jtsuyk@cslanet.calstatela.edu</t>
  </si>
  <si>
    <t>323-343-3955</t>
  </si>
  <si>
    <t>323-343-3935</t>
  </si>
  <si>
    <t>UL Conference Room and Thesis Conference Room</t>
  </si>
  <si>
    <t>Channel Islands</t>
  </si>
  <si>
    <t>Chico</t>
  </si>
  <si>
    <t>Dominguez Hills</t>
  </si>
  <si>
    <t>East Bay</t>
  </si>
  <si>
    <t>Humboldt</t>
  </si>
  <si>
    <t>Long Beach</t>
  </si>
  <si>
    <t>Los Angeles</t>
  </si>
  <si>
    <t>Northridge</t>
  </si>
  <si>
    <t>Pomona</t>
  </si>
  <si>
    <t>San Bernardino</t>
  </si>
  <si>
    <t>San Jose</t>
  </si>
  <si>
    <t>San Luis Obispo</t>
  </si>
  <si>
    <t>Sonoma</t>
  </si>
  <si>
    <t>Stanislaus</t>
  </si>
  <si>
    <t>CSU Elec. Core Coll</t>
  </si>
  <si>
    <t>Stephen.Stratton</t>
  </si>
  <si>
    <t>Head of Collections and Technical Services</t>
  </si>
  <si>
    <t>stephen.stratton@csuci.edu</t>
  </si>
  <si>
    <t>805 437 8913</t>
  </si>
  <si>
    <t>805 437 8910</t>
  </si>
  <si>
    <t>This includes all e-platforms which we do not differentiate between indexes/aggregators,serials</t>
  </si>
  <si>
    <t>copying, printing, inter-campus charge backs, travel, consultants, insurance</t>
  </si>
  <si>
    <t>Sarah Blakeslee</t>
  </si>
  <si>
    <t>Interim University Librarian</t>
  </si>
  <si>
    <t>sblakeslee@csuchico.edu</t>
  </si>
  <si>
    <t>530-898-4244</t>
  </si>
  <si>
    <t>530-898-5862</t>
  </si>
  <si>
    <t>Curriculum kits</t>
  </si>
  <si>
    <t>We reported an incorrect number for 08-09</t>
  </si>
  <si>
    <t>General Supplies</t>
  </si>
  <si>
    <t>Increase from 08-09 due to EBSCO search box on 1st page searching multiple databases</t>
  </si>
  <si>
    <t>N/A = Not Available</t>
  </si>
  <si>
    <t>UNK = Unknown</t>
  </si>
  <si>
    <t>dash (-) = 0 data</t>
  </si>
  <si>
    <t>* for 2009-10 reference transactions include in-person, email, phone, and virtual</t>
  </si>
  <si>
    <t>1</t>
  </si>
  <si>
    <t>2</t>
  </si>
  <si>
    <t>Information Technology staff (FTE) not included in 3b</t>
  </si>
  <si>
    <r>
      <rPr>
        <sz val="9"/>
        <rFont val="Arial"/>
        <family val="2"/>
      </rPr>
      <t>Student assistants from all funding sources (FTE--</t>
    </r>
    <r>
      <rPr>
        <sz val="10"/>
        <rFont val="Arial"/>
        <family val="2"/>
      </rPr>
      <t xml:space="preserve"> </t>
    </r>
    <r>
      <rPr>
        <sz val="8"/>
        <rFont val="Arial"/>
        <family val="2"/>
      </rPr>
      <t>include all hours for work study)</t>
    </r>
  </si>
  <si>
    <r>
      <t>Total FTE staff</t>
    </r>
    <r>
      <rPr>
        <sz val="10"/>
        <rFont val="Arial"/>
        <family val="2"/>
      </rPr>
      <t xml:space="preserve"> - (sum of lines 2, 3, 4, 5)</t>
    </r>
  </si>
  <si>
    <t>Librarians and other professioN/Al staff (sum of 7a, 7b)</t>
  </si>
  <si>
    <t>Total salaries and wages (except stdt. asst.) (sum of 7, 8)</t>
  </si>
  <si>
    <t>Student assistants-all funding sources (from L 5, include $ paid by Work Study Program)</t>
  </si>
  <si>
    <t>Access Fees for Serials/DBs/Aggregators/e-Books</t>
  </si>
  <si>
    <t>Charges incurred - Borrowing (invoices from lenders)</t>
  </si>
  <si>
    <t>Charges accrued - Lending (Invoices sent to borrowing libraries)</t>
  </si>
  <si>
    <t>Archival Materials</t>
  </si>
  <si>
    <t xml:space="preserve">Digital Preservation (not equipment/Software) </t>
  </si>
  <si>
    <t>All other operating expenditures</t>
  </si>
  <si>
    <t>Added by Gift (vols.)</t>
  </si>
  <si>
    <t>Bound periodicals</t>
  </si>
  <si>
    <t>Juvenile works - print (vols.)</t>
  </si>
  <si>
    <t>Government documents (vols.)</t>
  </si>
  <si>
    <t>Titles - electronic books</t>
  </si>
  <si>
    <t>Titles - Gov't Documents - electronic books</t>
  </si>
  <si>
    <t>Freely accessible  Elec periodicals/serials (de-duped)</t>
  </si>
  <si>
    <t>Printers    &amp; Photocopiers - Total</t>
  </si>
  <si>
    <t>Study Rooms (number of times used) - Total</t>
  </si>
  <si>
    <t>Meeting Rooms (number of times used) - Total</t>
  </si>
  <si>
    <t>Classrooms (or Computer Labs) - Total</t>
  </si>
  <si>
    <t>Classrooms (NOT run by the library, i.e. run by tenants)</t>
  </si>
  <si>
    <t>No. of virtual visits Homepage</t>
  </si>
  <si>
    <t>No. of virtual Catalog</t>
  </si>
  <si>
    <t>Circulation Initial charges</t>
  </si>
  <si>
    <t>Circulation renewals</t>
  </si>
  <si>
    <t>Total In House Use-Reshelving</t>
  </si>
  <si>
    <t>Renewals both CSU &amp; Community borrowers</t>
  </si>
  <si>
    <t>Print Materials</t>
  </si>
  <si>
    <t>E-reserve Materials</t>
  </si>
  <si>
    <t>Renewals of  Print Reserve Materials</t>
  </si>
  <si>
    <t>Provided to "Other" Libraries</t>
  </si>
  <si>
    <t>Received from CSU Libraries</t>
  </si>
  <si>
    <t>Received from UC Libraries</t>
  </si>
  <si>
    <t>Received from Other Libraries</t>
  </si>
  <si>
    <t>Info Lit Instruction - Students Non Credit bearing</t>
  </si>
  <si>
    <t>Info Lit Instruction Non-student Non credit bearing</t>
  </si>
  <si>
    <t xml:space="preserve">Library Programming - Cultural, Rec. </t>
  </si>
  <si>
    <t>Info Lit Instruction Students</t>
  </si>
  <si>
    <t>Info Lit Instruction - Non Students</t>
  </si>
  <si>
    <t>No. of Persons Served in Lib.- Taught Library Courses for Credit</t>
  </si>
  <si>
    <t>4</t>
  </si>
  <si>
    <t>5</t>
  </si>
  <si>
    <t>6</t>
  </si>
  <si>
    <t>7</t>
  </si>
  <si>
    <t>8</t>
  </si>
  <si>
    <t>9</t>
  </si>
  <si>
    <t>10</t>
  </si>
  <si>
    <t>11</t>
  </si>
  <si>
    <t>12</t>
  </si>
  <si>
    <t>13</t>
  </si>
  <si>
    <t>14</t>
  </si>
  <si>
    <t>15</t>
  </si>
  <si>
    <t>16</t>
  </si>
  <si>
    <t>17</t>
  </si>
  <si>
    <t>18</t>
  </si>
  <si>
    <t>19</t>
  </si>
  <si>
    <t>20</t>
  </si>
  <si>
    <t>21</t>
  </si>
  <si>
    <t>22</t>
  </si>
  <si>
    <t>23</t>
  </si>
  <si>
    <t>24</t>
  </si>
  <si>
    <t>25</t>
  </si>
  <si>
    <t>26</t>
  </si>
  <si>
    <t>28</t>
  </si>
  <si>
    <t>32</t>
  </si>
  <si>
    <t>33</t>
  </si>
  <si>
    <t>34</t>
  </si>
  <si>
    <t>36</t>
  </si>
  <si>
    <t>37</t>
  </si>
  <si>
    <t>37c</t>
  </si>
  <si>
    <t>38</t>
  </si>
  <si>
    <t>39</t>
  </si>
  <si>
    <t>40</t>
  </si>
  <si>
    <t>41</t>
  </si>
  <si>
    <t>42</t>
  </si>
  <si>
    <t>43</t>
  </si>
  <si>
    <t>44</t>
  </si>
  <si>
    <t>45</t>
  </si>
  <si>
    <t>46</t>
  </si>
  <si>
    <t>47</t>
  </si>
  <si>
    <t>48</t>
  </si>
  <si>
    <t>49</t>
  </si>
  <si>
    <t>50</t>
  </si>
  <si>
    <t>51</t>
  </si>
  <si>
    <t>52</t>
  </si>
  <si>
    <t>53</t>
  </si>
  <si>
    <t>16A</t>
  </si>
  <si>
    <t>16B</t>
  </si>
  <si>
    <t>16C</t>
  </si>
  <si>
    <t>16D</t>
  </si>
  <si>
    <t>16E</t>
  </si>
  <si>
    <t xml:space="preserve">   Cartographic materials</t>
  </si>
  <si>
    <t xml:space="preserve">Other library materials </t>
  </si>
  <si>
    <t xml:space="preserve">   Consortial Resource Sharing Agreements (including Link+, Circuit, Amigos, etc…)</t>
  </si>
  <si>
    <t>Copyright &amp; Royalty Fees</t>
  </si>
  <si>
    <t>18a</t>
  </si>
  <si>
    <t>Furniture and equipment - exclude computer equipment.</t>
  </si>
  <si>
    <t>Total expenditures (sum of 23 and 24a)</t>
  </si>
  <si>
    <t>Total number of serial titles currently received, including periodicals, newspapers &amp; government documents (sum of 27a - 27b)</t>
  </si>
  <si>
    <t>27</t>
  </si>
  <si>
    <t>29</t>
  </si>
  <si>
    <t>29d1</t>
  </si>
  <si>
    <t>29d2</t>
  </si>
  <si>
    <t>31</t>
  </si>
  <si>
    <t>Number of searches (queries) in databases or services</t>
  </si>
  <si>
    <t>No. of visits to databases or services (31a &amp; 31b counted each as separate lines)</t>
  </si>
  <si>
    <t>Shipping &amp; Labels (including Link+ labels Tricor for non-CSU deliveries, USPS Mail, UPS, etc...)</t>
  </si>
  <si>
    <t xml:space="preserve"> Number of sessions (logins) to databases or services </t>
  </si>
  <si>
    <t>Document Delivery - Interlibrary Loans received - borrowed from other libraries (sum of 42a-42c)</t>
  </si>
  <si>
    <t>Number of presentations (sum of 44a-44c)</t>
  </si>
  <si>
    <t>Number of persons served in presentations (sum of 45a-45c)</t>
  </si>
  <si>
    <t>Document Delivery/Interlibrary Loans provided/lent to other libraries  (sum of 36-37)</t>
  </si>
  <si>
    <t>Document Delivery - Interlibrary Loans received - borrowed from other libraries  (sum of 40-41)</t>
  </si>
  <si>
    <t>Number of Orientations - Tours</t>
  </si>
  <si>
    <t>No. of Persons served in Lib Orientation / Tours</t>
  </si>
  <si>
    <t xml:space="preserve">Library participated in orientation sessions </t>
  </si>
  <si>
    <t>7/17,23,26,27,29</t>
  </si>
  <si>
    <t>8/9,10, 12, 13</t>
  </si>
  <si>
    <t>Updated and revised "Connect @ SDSU library, Student Guide to the Library &amp; Information Access"</t>
  </si>
  <si>
    <t>International Student Orientation-Student guide handouts to over 700 students</t>
  </si>
  <si>
    <t>Met with Director of San Diego History Center-Became a member of the advisory board, shared work with oral history project</t>
  </si>
  <si>
    <t>Researched at the San Diego History Center-identifying African American photographs and highlighting individuals to interview/collect papers for oral history project.</t>
  </si>
  <si>
    <t>Attended "Making a Difference" Guardian Scholars (Homeless youth enrolled on campus) talked to individual students about library services</t>
  </si>
  <si>
    <t>Provided library orientation to Summer Bridge Students, approximately 150 students. Distributed Student Guide, 2 Library Instruction Handouts</t>
  </si>
  <si>
    <t xml:space="preserve">51g(1) </t>
  </si>
  <si>
    <t>54</t>
  </si>
  <si>
    <t>Other (Scanners, etc.) (NOT purchased by the library) (within 51h)</t>
  </si>
  <si>
    <t>55</t>
  </si>
  <si>
    <t>Flash / Thumb drives - Total</t>
  </si>
  <si>
    <t>All other supplies, services and misc not included in areas above.</t>
  </si>
  <si>
    <t>Median</t>
  </si>
  <si>
    <t>35</t>
  </si>
  <si>
    <t>(2d)</t>
  </si>
</sst>
</file>

<file path=xl/styles.xml><?xml version="1.0" encoding="utf-8"?>
<styleSheet xmlns="http://schemas.openxmlformats.org/spreadsheetml/2006/main">
  <numFmts count="12">
    <numFmt numFmtId="5" formatCode="&quot;$&quot;#,##0_);\(&quot;$&quot;#,##0\)"/>
    <numFmt numFmtId="44" formatCode="_(&quot;$&quot;* #,##0.00_);_(&quot;$&quot;* \(#,##0.00\);_(&quot;$&quot;* &quot;-&quot;??_);_(@_)"/>
    <numFmt numFmtId="43" formatCode="_(* #,##0.00_);_(* \(#,##0.00\);_(* &quot;-&quot;??_);_(@_)"/>
    <numFmt numFmtId="164" formatCode="&quot;$&quot;#,##0;[Red]&quot;$&quot;#,##0"/>
    <numFmt numFmtId="165" formatCode="&quot;$&quot;#,##0.00;[Red]&quot;$&quot;#,##0.00"/>
    <numFmt numFmtId="166" formatCode="&quot;$&quot;#,##0"/>
    <numFmt numFmtId="167" formatCode="0.0%"/>
    <numFmt numFmtId="168" formatCode="_(* #,##0_);_(* \(#,##0\);_(* &quot;-&quot;??_);_(@_)"/>
    <numFmt numFmtId="169" formatCode="&quot;$&quot;#,##0.00"/>
    <numFmt numFmtId="170" formatCode="\(@\)"/>
    <numFmt numFmtId="171" formatCode="#,##0\ ;\(#,##0\)\ ;\—\ "/>
    <numFmt numFmtId="172" formatCode="&quot;$&quot;#,##0\ ;\(&quot;$&quot;#,##0\)\ ;\—\ "/>
  </numFmts>
  <fonts count="76">
    <font>
      <sz val="10"/>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color indexed="8"/>
      <name val="Arial"/>
      <family val="2"/>
    </font>
    <font>
      <sz val="10"/>
      <color indexed="8"/>
      <name val="Arial"/>
      <family val="2"/>
    </font>
    <font>
      <sz val="10"/>
      <name val="Arial"/>
      <family val="2"/>
    </font>
    <font>
      <b/>
      <sz val="10"/>
      <name val="Arial"/>
      <family val="2"/>
    </font>
    <font>
      <sz val="8"/>
      <color indexed="81"/>
      <name val="Tahoma"/>
      <family val="2"/>
    </font>
    <font>
      <b/>
      <sz val="8"/>
      <color indexed="81"/>
      <name val="Tahoma"/>
      <family val="2"/>
    </font>
    <font>
      <i/>
      <sz val="10"/>
      <name val="Arial"/>
      <family val="2"/>
    </font>
    <font>
      <b/>
      <sz val="14"/>
      <name val="Arial"/>
      <family val="2"/>
    </font>
    <font>
      <b/>
      <u/>
      <sz val="10"/>
      <name val="Arial"/>
      <family val="2"/>
    </font>
    <font>
      <sz val="9"/>
      <name val="Arial"/>
      <family val="2"/>
    </font>
    <font>
      <b/>
      <sz val="9"/>
      <name val="Arial"/>
      <family val="2"/>
    </font>
    <font>
      <b/>
      <sz val="12"/>
      <name val="Arial"/>
      <family val="2"/>
    </font>
    <font>
      <sz val="12"/>
      <name val="Arial"/>
      <family val="2"/>
    </font>
    <font>
      <sz val="10"/>
      <color indexed="10"/>
      <name val="Arial"/>
      <family val="2"/>
    </font>
    <font>
      <b/>
      <sz val="10"/>
      <color indexed="10"/>
      <name val="Arial"/>
      <family val="2"/>
    </font>
    <font>
      <sz val="10"/>
      <name val="Arial"/>
      <family val="2"/>
    </font>
    <font>
      <b/>
      <sz val="8"/>
      <name val="Arial"/>
      <family val="2"/>
    </font>
    <font>
      <u/>
      <sz val="10"/>
      <color indexed="12"/>
      <name val="Arial"/>
      <family val="2"/>
    </font>
    <font>
      <u/>
      <sz val="14.1"/>
      <color theme="10"/>
      <name val="Arial"/>
      <family val="2"/>
    </font>
    <font>
      <b/>
      <sz val="10"/>
      <color rgb="FFFF0000"/>
      <name val="Arial"/>
      <family val="2"/>
    </font>
    <font>
      <b/>
      <sz val="11"/>
      <color theme="1"/>
      <name val="Calibri"/>
      <family val="2"/>
      <scheme val="minor"/>
    </font>
    <font>
      <u/>
      <sz val="10"/>
      <color theme="10"/>
      <name val="Arial"/>
      <family val="2"/>
    </font>
    <font>
      <u/>
      <sz val="9.6"/>
      <color theme="10"/>
      <name val="Arial"/>
      <family val="2"/>
    </font>
    <font>
      <u/>
      <sz val="11"/>
      <color theme="10"/>
      <name val="Calibri"/>
      <family val="2"/>
    </font>
    <font>
      <sz val="12"/>
      <color theme="1"/>
      <name val="Calibri"/>
      <family val="2"/>
      <scheme val="minor"/>
    </font>
    <font>
      <sz val="12"/>
      <color rgb="FF000000"/>
      <name val="Times New Roman"/>
      <family val="1"/>
    </font>
    <font>
      <b/>
      <sz val="11"/>
      <name val="Arial"/>
      <family val="2"/>
    </font>
    <font>
      <sz val="11"/>
      <name val="Calibri"/>
      <family val="2"/>
    </font>
    <font>
      <sz val="11"/>
      <color rgb="FF000000"/>
      <name val="Calibri"/>
      <family val="2"/>
    </font>
    <font>
      <sz val="10"/>
      <color rgb="FFFF0000"/>
      <name val="Arial"/>
      <family val="2"/>
    </font>
    <font>
      <b/>
      <sz val="11"/>
      <name val="Calibri"/>
      <family val="2"/>
    </font>
    <font>
      <b/>
      <sz val="9"/>
      <color indexed="81"/>
      <name val="Tahoma"/>
      <family val="2"/>
    </font>
    <font>
      <sz val="9"/>
      <color indexed="81"/>
      <name val="Tahoma"/>
      <family val="2"/>
    </font>
    <font>
      <u/>
      <sz val="11"/>
      <color theme="10"/>
      <name val="Tahoma"/>
      <family val="2"/>
    </font>
    <font>
      <u/>
      <sz val="9.6"/>
      <color indexed="12"/>
      <name val="Arial"/>
      <family val="2"/>
    </font>
    <font>
      <b/>
      <sz val="14"/>
      <color rgb="FFFF0000"/>
      <name val="Arial"/>
      <family val="2"/>
    </font>
    <font>
      <sz val="9"/>
      <color rgb="FF3366FF"/>
      <name val="Arial"/>
      <family val="2"/>
    </font>
    <font>
      <b/>
      <sz val="9"/>
      <color rgb="FFFF0000"/>
      <name val="Arial"/>
      <family val="2"/>
    </font>
    <font>
      <sz val="10"/>
      <color rgb="FF0000FF"/>
      <name val="Arial"/>
      <family val="2"/>
    </font>
    <font>
      <u/>
      <sz val="10"/>
      <color rgb="FF0000FF"/>
      <name val="Arial"/>
      <family val="2"/>
    </font>
    <font>
      <b/>
      <sz val="10"/>
      <color rgb="FF0000FF"/>
      <name val="Arial"/>
      <family val="2"/>
    </font>
    <font>
      <sz val="11"/>
      <name val="Arial"/>
      <family val="2"/>
    </font>
    <font>
      <sz val="11"/>
      <color indexed="10"/>
      <name val="Arial"/>
      <family val="2"/>
    </font>
    <font>
      <i/>
      <sz val="11"/>
      <name val="Arial"/>
      <family val="2"/>
    </font>
    <font>
      <b/>
      <sz val="11"/>
      <color indexed="10"/>
      <name val="Arial"/>
      <family val="2"/>
    </font>
    <font>
      <sz val="11"/>
      <color indexed="8"/>
      <name val="Arial"/>
      <family val="2"/>
    </font>
    <font>
      <b/>
      <sz val="11"/>
      <color indexed="8"/>
      <name val="Arial"/>
      <family val="2"/>
    </font>
    <font>
      <b/>
      <u/>
      <sz val="11"/>
      <name val="Arial"/>
      <family val="2"/>
    </font>
    <font>
      <sz val="12"/>
      <color indexed="8"/>
      <name val="Calibri"/>
      <family val="2"/>
    </font>
    <font>
      <sz val="10"/>
      <name val="Geneva"/>
    </font>
    <font>
      <sz val="11"/>
      <color indexed="9"/>
      <name val="Arial"/>
      <family val="2"/>
    </font>
    <font>
      <sz val="12"/>
      <color theme="1"/>
      <name val="Arial"/>
      <family val="2"/>
    </font>
    <font>
      <sz val="12"/>
      <color rgb="FF000000"/>
      <name val="Arial"/>
      <family val="2"/>
    </font>
    <font>
      <sz val="10"/>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47"/>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39994506668294322"/>
        <bgColor indexed="64"/>
      </patternFill>
    </fill>
    <fill>
      <patternFill patternType="solid">
        <fgColor rgb="FFE1FFF4"/>
        <bgColor indexed="64"/>
      </patternFill>
    </fill>
    <fill>
      <patternFill patternType="solid">
        <fgColor rgb="FFDAFAFE"/>
        <bgColor indexed="64"/>
      </patternFill>
    </fill>
    <fill>
      <patternFill patternType="solid">
        <fgColor rgb="FFDEE6FE"/>
        <bgColor indexed="64"/>
      </patternFill>
    </fill>
    <fill>
      <patternFill patternType="solid">
        <fgColor rgb="FFD6FED8"/>
        <bgColor indexed="64"/>
      </patternFill>
    </fill>
    <fill>
      <patternFill patternType="solid">
        <fgColor rgb="FF6BE8F9"/>
        <bgColor indexed="64"/>
      </patternFill>
    </fill>
    <fill>
      <patternFill patternType="solid">
        <fgColor rgb="FF8C91FC"/>
        <bgColor indexed="64"/>
      </patternFill>
    </fill>
    <fill>
      <patternFill patternType="solid">
        <fgColor rgb="FF3EEFF8"/>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style="thin">
        <color indexed="55"/>
      </top>
      <bottom style="thin">
        <color indexed="55"/>
      </bottom>
      <diagonal/>
    </border>
    <border>
      <left style="thin">
        <color indexed="55"/>
      </left>
      <right/>
      <top/>
      <bottom style="thin">
        <color indexed="55"/>
      </bottom>
      <diagonal/>
    </border>
    <border>
      <left style="thin">
        <color indexed="64"/>
      </left>
      <right/>
      <top/>
      <bottom/>
      <diagonal/>
    </border>
    <border>
      <left style="thin">
        <color indexed="55"/>
      </left>
      <right/>
      <top style="thin">
        <color indexed="55"/>
      </top>
      <bottom/>
      <diagonal/>
    </border>
    <border>
      <left style="thin">
        <color indexed="64"/>
      </left>
      <right/>
      <top style="thin">
        <color indexed="55"/>
      </top>
      <bottom style="thin">
        <color indexed="55"/>
      </bottom>
      <diagonal/>
    </border>
    <border>
      <left style="thin">
        <color indexed="55"/>
      </left>
      <right/>
      <top/>
      <bottom/>
      <diagonal/>
    </border>
    <border>
      <left/>
      <right style="thin">
        <color indexed="55"/>
      </right>
      <top/>
      <bottom/>
      <diagonal/>
    </border>
    <border>
      <left/>
      <right style="thin">
        <color indexed="55"/>
      </right>
      <top/>
      <bottom style="thin">
        <color indexed="55"/>
      </bottom>
      <diagonal/>
    </border>
    <border>
      <left/>
      <right style="thin">
        <color indexed="64"/>
      </right>
      <top style="thin">
        <color indexed="55"/>
      </top>
      <bottom style="thin">
        <color indexed="55"/>
      </bottom>
      <diagonal/>
    </border>
    <border>
      <left/>
      <right style="thin">
        <color indexed="55"/>
      </right>
      <top style="thin">
        <color indexed="55"/>
      </top>
      <bottom/>
      <diagonal/>
    </border>
    <border>
      <left style="thin">
        <color indexed="55"/>
      </left>
      <right/>
      <top style="thin">
        <color indexed="55"/>
      </top>
      <bottom style="thin">
        <color indexed="64"/>
      </bottom>
      <diagonal/>
    </border>
    <border>
      <left/>
      <right/>
      <top style="thin">
        <color indexed="55"/>
      </top>
      <bottom style="thin">
        <color indexed="64"/>
      </bottom>
      <diagonal/>
    </border>
    <border>
      <left/>
      <right style="thin">
        <color indexed="55"/>
      </right>
      <top style="thin">
        <color indexed="55"/>
      </top>
      <bottom style="thin">
        <color indexed="64"/>
      </bottom>
      <diagonal/>
    </border>
    <border>
      <left/>
      <right/>
      <top/>
      <bottom style="thin">
        <color indexed="55"/>
      </bottom>
      <diagonal/>
    </border>
    <border>
      <left style="thin">
        <color indexed="55"/>
      </left>
      <right style="thin">
        <color indexed="55"/>
      </right>
      <top style="thin">
        <color indexed="55"/>
      </top>
      <bottom style="thin">
        <color indexed="64"/>
      </bottom>
      <diagonal/>
    </border>
    <border>
      <left/>
      <right/>
      <top/>
      <bottom style="medium">
        <color rgb="FF969696"/>
      </bottom>
      <diagonal/>
    </border>
    <border>
      <left/>
      <right/>
      <top style="medium">
        <color rgb="FF969696"/>
      </top>
      <bottom style="medium">
        <color rgb="FF969696"/>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64"/>
      </bottom>
      <diagonal/>
    </border>
    <border>
      <left/>
      <right style="medium">
        <color rgb="FF969696"/>
      </right>
      <top/>
      <bottom style="medium">
        <color rgb="FF969696"/>
      </bottom>
      <diagonal/>
    </border>
    <border>
      <left/>
      <right/>
      <top style="thin">
        <color indexed="55"/>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double">
        <color indexed="14"/>
      </left>
      <right style="double">
        <color indexed="14"/>
      </right>
      <top/>
      <bottom/>
      <diagonal/>
    </border>
    <border>
      <left style="double">
        <color indexed="14"/>
      </left>
      <right/>
      <top/>
      <bottom/>
      <diagonal/>
    </border>
    <border>
      <left style="double">
        <color indexed="14"/>
      </left>
      <right style="double">
        <color indexed="1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diagonal/>
    </border>
    <border>
      <left style="thin">
        <color indexed="64"/>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8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7" fillId="0" borderId="0" applyFont="0" applyFill="0" applyBorder="0" applyAlignment="0" applyProtection="0"/>
    <xf numFmtId="44" fontId="24"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7" fillId="0" borderId="0"/>
    <xf numFmtId="0" fontId="4"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4"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4" fillId="0" borderId="0" applyNumberFormat="0" applyFill="0" applyBorder="0" applyAlignment="0" applyProtection="0">
      <alignment vertical="top"/>
      <protection locked="0"/>
    </xf>
    <xf numFmtId="0" fontId="24" fillId="0" borderId="0"/>
    <xf numFmtId="0" fontId="3" fillId="0" borderId="0"/>
    <xf numFmtId="0" fontId="3" fillId="23" borderId="7" applyNumberFormat="0" applyFont="0" applyAlignment="0" applyProtection="0"/>
    <xf numFmtId="0" fontId="71"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alignment vertical="top"/>
      <protection locked="0"/>
    </xf>
    <xf numFmtId="0" fontId="24" fillId="0" borderId="0"/>
    <xf numFmtId="0" fontId="7" fillId="20" borderId="50" applyNumberFormat="0" applyAlignment="0" applyProtection="0"/>
    <xf numFmtId="0" fontId="14" fillId="7" borderId="50" applyNumberFormat="0" applyAlignment="0" applyProtection="0"/>
    <xf numFmtId="0" fontId="3" fillId="23" borderId="51" applyNumberFormat="0" applyFont="0" applyAlignment="0" applyProtection="0"/>
    <xf numFmtId="0" fontId="17" fillId="20" borderId="52" applyNumberFormat="0" applyAlignment="0" applyProtection="0"/>
    <xf numFmtId="0" fontId="19" fillId="0" borderId="53" applyNumberFormat="0" applyFill="0" applyAlignment="0" applyProtection="0"/>
    <xf numFmtId="0" fontId="24" fillId="0" borderId="0"/>
    <xf numFmtId="0" fontId="3"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426">
    <xf numFmtId="0" fontId="0" fillId="0" borderId="0" xfId="0"/>
    <xf numFmtId="0" fontId="24" fillId="0" borderId="0" xfId="0" applyFont="1" applyFill="1" applyProtection="1">
      <protection locked="0"/>
    </xf>
    <xf numFmtId="0" fontId="24" fillId="0" borderId="10" xfId="0" applyFont="1" applyFill="1" applyBorder="1" applyProtection="1">
      <protection locked="0"/>
    </xf>
    <xf numFmtId="0" fontId="24" fillId="0" borderId="0" xfId="0" applyFont="1" applyFill="1" applyBorder="1" applyProtection="1">
      <protection locked="0"/>
    </xf>
    <xf numFmtId="0" fontId="24" fillId="0" borderId="0" xfId="0" applyFont="1" applyFill="1" applyAlignment="1" applyProtection="1">
      <alignment horizontal="center"/>
      <protection locked="0"/>
    </xf>
    <xf numFmtId="0" fontId="25" fillId="0" borderId="11" xfId="41" applyFont="1" applyFill="1" applyBorder="1" applyAlignment="1" applyProtection="1">
      <alignment horizontal="center"/>
      <protection locked="0"/>
    </xf>
    <xf numFmtId="0" fontId="25" fillId="0" borderId="11" xfId="0" applyFont="1" applyFill="1" applyBorder="1" applyProtection="1">
      <protection locked="0"/>
    </xf>
    <xf numFmtId="0" fontId="25" fillId="0" borderId="11" xfId="41" applyFont="1" applyFill="1" applyBorder="1" applyProtection="1">
      <protection locked="0"/>
    </xf>
    <xf numFmtId="0" fontId="24" fillId="0" borderId="11" xfId="41" applyFont="1" applyFill="1" applyBorder="1" applyAlignment="1" applyProtection="1">
      <alignment horizontal="center"/>
      <protection locked="0"/>
    </xf>
    <xf numFmtId="0" fontId="24" fillId="0" borderId="11" xfId="0" applyFont="1" applyFill="1" applyBorder="1" applyAlignment="1" applyProtection="1">
      <alignment horizontal="center" wrapText="1"/>
      <protection locked="0"/>
    </xf>
    <xf numFmtId="0" fontId="24" fillId="0" borderId="11" xfId="0" applyFont="1" applyFill="1" applyBorder="1" applyProtection="1">
      <protection locked="0"/>
    </xf>
    <xf numFmtId="0" fontId="35" fillId="0" borderId="11" xfId="41" applyFont="1" applyFill="1" applyBorder="1" applyAlignment="1" applyProtection="1">
      <alignment horizontal="center"/>
      <protection locked="0"/>
    </xf>
    <xf numFmtId="0" fontId="24" fillId="0" borderId="11" xfId="41" applyFont="1" applyFill="1" applyBorder="1" applyAlignment="1" applyProtection="1">
      <alignment horizontal="left" indent="1"/>
      <protection locked="0"/>
    </xf>
    <xf numFmtId="0" fontId="24" fillId="0" borderId="11" xfId="0" applyFont="1" applyFill="1" applyBorder="1" applyAlignment="1" applyProtection="1">
      <alignment horizontal="left" indent="1"/>
      <protection locked="0"/>
    </xf>
    <xf numFmtId="1" fontId="24" fillId="0" borderId="11" xfId="41" applyNumberFormat="1" applyFont="1" applyFill="1" applyBorder="1" applyAlignment="1" applyProtection="1">
      <alignment horizontal="center"/>
      <protection locked="0"/>
    </xf>
    <xf numFmtId="2" fontId="24" fillId="0" borderId="11" xfId="41" applyNumberFormat="1" applyFont="1" applyFill="1" applyBorder="1" applyAlignment="1" applyProtection="1">
      <alignment horizontal="center"/>
      <protection locked="0"/>
    </xf>
    <xf numFmtId="0" fontId="25" fillId="0" borderId="11" xfId="41" applyFont="1" applyFill="1" applyBorder="1" applyAlignment="1" applyProtection="1">
      <protection locked="0"/>
    </xf>
    <xf numFmtId="0" fontId="36" fillId="0" borderId="11" xfId="41" applyFont="1" applyFill="1" applyBorder="1" applyAlignment="1" applyProtection="1">
      <alignment horizontal="center"/>
      <protection locked="0"/>
    </xf>
    <xf numFmtId="0" fontId="25" fillId="0" borderId="11" xfId="0" applyFont="1" applyFill="1" applyBorder="1" applyAlignment="1" applyProtection="1">
      <protection locked="0"/>
    </xf>
    <xf numFmtId="0" fontId="23" fillId="0" borderId="11" xfId="41" applyFont="1" applyFill="1" applyBorder="1" applyAlignment="1" applyProtection="1">
      <alignment horizontal="center" vertical="center"/>
      <protection locked="0"/>
    </xf>
    <xf numFmtId="0" fontId="24" fillId="0" borderId="11" xfId="41" applyFont="1" applyFill="1" applyBorder="1" applyAlignment="1" applyProtection="1">
      <alignment horizontal="left" vertical="center" indent="1"/>
      <protection locked="0"/>
    </xf>
    <xf numFmtId="0" fontId="22" fillId="0" borderId="11" xfId="41" applyFont="1" applyFill="1" applyBorder="1" applyAlignment="1" applyProtection="1">
      <alignment horizontal="center"/>
      <protection locked="0"/>
    </xf>
    <xf numFmtId="0" fontId="25" fillId="0" borderId="11" xfId="41" applyFont="1" applyFill="1" applyBorder="1" applyAlignment="1" applyProtection="1">
      <alignment horizontal="left" wrapText="1"/>
      <protection locked="0"/>
    </xf>
    <xf numFmtId="0" fontId="22" fillId="0" borderId="11" xfId="0" applyFont="1" applyFill="1" applyBorder="1" applyAlignment="1" applyProtection="1">
      <alignment horizontal="center"/>
      <protection locked="0"/>
    </xf>
    <xf numFmtId="0" fontId="23" fillId="0" borderId="11" xfId="0" applyFont="1" applyFill="1" applyBorder="1" applyAlignment="1" applyProtection="1">
      <alignment horizontal="left" vertical="center" indent="1"/>
      <protection locked="0"/>
    </xf>
    <xf numFmtId="0" fontId="24" fillId="0" borderId="11" xfId="0" applyFont="1" applyFill="1" applyBorder="1" applyAlignment="1" applyProtection="1">
      <alignment horizontal="center"/>
      <protection locked="0"/>
    </xf>
    <xf numFmtId="0" fontId="22" fillId="0" borderId="11" xfId="0" applyFont="1" applyFill="1" applyBorder="1" applyProtection="1">
      <protection locked="0"/>
    </xf>
    <xf numFmtId="0" fontId="35" fillId="0" borderId="11" xfId="0" applyFont="1" applyFill="1" applyBorder="1" applyAlignment="1" applyProtection="1">
      <alignment horizontal="center"/>
      <protection locked="0"/>
    </xf>
    <xf numFmtId="0" fontId="23" fillId="0" borderId="11" xfId="0" applyFont="1" applyFill="1" applyBorder="1" applyAlignment="1" applyProtection="1">
      <alignment horizontal="left" indent="1"/>
      <protection locked="0"/>
    </xf>
    <xf numFmtId="0" fontId="22" fillId="0" borderId="11" xfId="0" applyFont="1" applyFill="1" applyBorder="1" applyAlignment="1" applyProtection="1">
      <alignment horizontal="left" indent="1"/>
      <protection locked="0"/>
    </xf>
    <xf numFmtId="0" fontId="25" fillId="0" borderId="11" xfId="0" applyFont="1" applyFill="1" applyBorder="1" applyAlignment="1" applyProtection="1">
      <alignment horizontal="center"/>
      <protection locked="0"/>
    </xf>
    <xf numFmtId="0" fontId="24" fillId="0" borderId="11" xfId="0" applyFont="1" applyFill="1" applyBorder="1" applyAlignment="1" applyProtection="1">
      <alignment wrapText="1"/>
      <protection locked="0"/>
    </xf>
    <xf numFmtId="3" fontId="25" fillId="0" borderId="11" xfId="0" applyNumberFormat="1" applyFont="1" applyFill="1" applyBorder="1" applyAlignment="1" applyProtection="1">
      <alignment horizontal="center"/>
      <protection locked="0"/>
    </xf>
    <xf numFmtId="0" fontId="25" fillId="0" borderId="11" xfId="0" applyFont="1" applyFill="1" applyBorder="1" applyAlignment="1" applyProtection="1">
      <alignment wrapText="1"/>
      <protection locked="0"/>
    </xf>
    <xf numFmtId="3" fontId="24" fillId="0" borderId="11" xfId="0" applyNumberFormat="1" applyFont="1" applyFill="1" applyBorder="1" applyAlignment="1" applyProtection="1">
      <alignment horizontal="center"/>
      <protection locked="0"/>
    </xf>
    <xf numFmtId="0" fontId="24" fillId="0" borderId="11" xfId="0" applyFont="1" applyFill="1" applyBorder="1" applyAlignment="1" applyProtection="1">
      <alignment horizontal="left" indent="2"/>
      <protection locked="0"/>
    </xf>
    <xf numFmtId="0" fontId="25" fillId="0" borderId="11" xfId="0" applyFont="1" applyFill="1" applyBorder="1" applyAlignment="1" applyProtection="1">
      <alignment horizontal="center" vertical="center"/>
      <protection locked="0"/>
    </xf>
    <xf numFmtId="0" fontId="25" fillId="0" borderId="11" xfId="0" applyFont="1" applyFill="1" applyBorder="1" applyAlignment="1" applyProtection="1">
      <alignment horizontal="left" indent="1"/>
      <protection locked="0"/>
    </xf>
    <xf numFmtId="0" fontId="36" fillId="0" borderId="11" xfId="0" applyFont="1" applyFill="1" applyBorder="1" applyAlignment="1" applyProtection="1">
      <alignment horizontal="center"/>
      <protection locked="0"/>
    </xf>
    <xf numFmtId="0" fontId="23" fillId="0" borderId="11" xfId="0" applyFont="1" applyFill="1" applyBorder="1" applyAlignment="1" applyProtection="1">
      <alignment horizontal="center"/>
      <protection locked="0"/>
    </xf>
    <xf numFmtId="0" fontId="24" fillId="0" borderId="12" xfId="0" applyFont="1" applyFill="1" applyBorder="1" applyAlignment="1" applyProtection="1">
      <alignment horizontal="center"/>
      <protection locked="0"/>
    </xf>
    <xf numFmtId="0" fontId="23" fillId="0" borderId="11" xfId="0" applyFont="1" applyFill="1" applyBorder="1" applyProtection="1">
      <protection locked="0"/>
    </xf>
    <xf numFmtId="0" fontId="22" fillId="0" borderId="11" xfId="0" applyFont="1" applyFill="1" applyBorder="1" applyAlignment="1" applyProtection="1">
      <alignment horizontal="left" vertical="top"/>
      <protection locked="0"/>
    </xf>
    <xf numFmtId="0" fontId="31" fillId="0" borderId="11"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24" fillId="0" borderId="13" xfId="0" applyFont="1" applyFill="1" applyBorder="1" applyAlignment="1" applyProtection="1">
      <alignment horizontal="left" indent="1"/>
      <protection locked="0"/>
    </xf>
    <xf numFmtId="0" fontId="24" fillId="0" borderId="0" xfId="0" applyFont="1" applyFill="1" applyBorder="1" applyAlignment="1" applyProtection="1">
      <alignment horizontal="center"/>
      <protection locked="0"/>
    </xf>
    <xf numFmtId="0" fontId="25" fillId="0" borderId="0" xfId="0" applyFont="1" applyFill="1" applyAlignment="1" applyProtection="1">
      <alignment horizontal="center"/>
      <protection locked="0"/>
    </xf>
    <xf numFmtId="0" fontId="25" fillId="0" borderId="13" xfId="0" applyFont="1" applyFill="1" applyBorder="1" applyAlignment="1" applyProtection="1">
      <alignment horizontal="left"/>
      <protection locked="0"/>
    </xf>
    <xf numFmtId="0" fontId="24" fillId="0" borderId="11" xfId="0" applyFont="1" applyFill="1" applyBorder="1" applyAlignment="1" applyProtection="1">
      <alignment horizontal="left" vertical="top"/>
      <protection locked="0"/>
    </xf>
    <xf numFmtId="2" fontId="24" fillId="0" borderId="11" xfId="41" applyNumberFormat="1" applyFont="1" applyFill="1" applyBorder="1" applyAlignment="1" applyProtection="1">
      <alignment horizontal="center"/>
    </xf>
    <xf numFmtId="3" fontId="24" fillId="0" borderId="11" xfId="0" applyNumberFormat="1" applyFont="1" applyFill="1" applyBorder="1" applyAlignment="1" applyProtection="1">
      <alignment horizontal="center"/>
    </xf>
    <xf numFmtId="0" fontId="24" fillId="0" borderId="11" xfId="0" applyFont="1" applyFill="1" applyBorder="1" applyAlignment="1" applyProtection="1">
      <alignment horizontal="center"/>
    </xf>
    <xf numFmtId="0" fontId="24" fillId="0" borderId="11" xfId="0" applyNumberFormat="1" applyFont="1" applyFill="1" applyBorder="1" applyAlignment="1" applyProtection="1">
      <alignment horizontal="center" wrapText="1"/>
    </xf>
    <xf numFmtId="0" fontId="24" fillId="0" borderId="12" xfId="0" applyFont="1" applyFill="1" applyBorder="1" applyAlignment="1" applyProtection="1">
      <alignment horizontal="center"/>
    </xf>
    <xf numFmtId="164" fontId="24" fillId="0" borderId="11" xfId="41" applyNumberFormat="1" applyFont="1" applyFill="1" applyBorder="1" applyAlignment="1" applyProtection="1">
      <alignment horizontal="center"/>
      <protection locked="0"/>
    </xf>
    <xf numFmtId="164" fontId="24" fillId="0" borderId="11" xfId="41" applyNumberFormat="1" applyFont="1" applyFill="1" applyBorder="1" applyAlignment="1" applyProtection="1">
      <protection locked="0"/>
    </xf>
    <xf numFmtId="164" fontId="24" fillId="0" borderId="11" xfId="41" applyNumberFormat="1" applyFont="1" applyFill="1" applyBorder="1" applyAlignment="1" applyProtection="1">
      <alignment horizontal="right"/>
    </xf>
    <xf numFmtId="164" fontId="24" fillId="0" borderId="12" xfId="41" applyNumberFormat="1" applyFont="1" applyFill="1" applyBorder="1" applyAlignment="1" applyProtection="1">
      <alignment horizontal="center"/>
      <protection locked="0"/>
    </xf>
    <xf numFmtId="164" fontId="24" fillId="0" borderId="11" xfId="41" applyNumberFormat="1" applyFont="1" applyFill="1" applyBorder="1" applyAlignment="1" applyProtection="1">
      <alignment horizontal="right"/>
      <protection locked="0"/>
    </xf>
    <xf numFmtId="0" fontId="24" fillId="0" borderId="0" xfId="0" applyFont="1"/>
    <xf numFmtId="0" fontId="0" fillId="0" borderId="0" xfId="0" applyAlignment="1">
      <alignment horizontal="center"/>
    </xf>
    <xf numFmtId="0" fontId="25" fillId="0" borderId="0" xfId="0" applyFont="1"/>
    <xf numFmtId="3" fontId="0" fillId="0" borderId="0" xfId="0" applyNumberFormat="1"/>
    <xf numFmtId="0" fontId="25" fillId="0" borderId="11" xfId="0" applyFont="1" applyFill="1" applyBorder="1" applyAlignment="1" applyProtection="1">
      <alignment horizontal="center" wrapText="1"/>
      <protection locked="0"/>
    </xf>
    <xf numFmtId="0" fontId="29" fillId="0" borderId="0" xfId="40" applyFont="1" applyFill="1" applyAlignment="1" applyProtection="1">
      <alignment horizontal="left"/>
      <protection locked="0"/>
    </xf>
    <xf numFmtId="0" fontId="29" fillId="0" borderId="0" xfId="40" applyFont="1" applyFill="1" applyProtection="1">
      <protection locked="0"/>
    </xf>
    <xf numFmtId="0" fontId="25" fillId="0" borderId="0" xfId="40" applyFont="1" applyFill="1" applyProtection="1">
      <protection locked="0"/>
    </xf>
    <xf numFmtId="0" fontId="37" fillId="0" borderId="0" xfId="40"/>
    <xf numFmtId="0" fontId="24" fillId="0" borderId="0" xfId="40" applyFont="1" applyFill="1" applyProtection="1">
      <protection locked="0"/>
    </xf>
    <xf numFmtId="0" fontId="25" fillId="0" borderId="0" xfId="40" applyFont="1" applyFill="1" applyAlignment="1" applyProtection="1">
      <alignment horizontal="left"/>
      <protection locked="0"/>
    </xf>
    <xf numFmtId="0" fontId="24" fillId="0" borderId="10" xfId="40" applyFont="1" applyFill="1" applyBorder="1" applyProtection="1">
      <protection locked="0"/>
    </xf>
    <xf numFmtId="0" fontId="24" fillId="0" borderId="0" xfId="40" applyFont="1" applyFill="1" applyBorder="1" applyProtection="1">
      <protection locked="0"/>
    </xf>
    <xf numFmtId="0" fontId="33" fillId="0" borderId="0" xfId="40" applyFont="1" applyFill="1" applyBorder="1" applyProtection="1">
      <protection locked="0"/>
    </xf>
    <xf numFmtId="0" fontId="31" fillId="0" borderId="0" xfId="40" applyFont="1" applyFill="1" applyBorder="1" applyProtection="1">
      <protection locked="0"/>
    </xf>
    <xf numFmtId="0" fontId="31" fillId="0" borderId="0" xfId="40" applyFont="1" applyFill="1" applyProtection="1">
      <protection locked="0"/>
    </xf>
    <xf numFmtId="0" fontId="32" fillId="0" borderId="0" xfId="40" applyFont="1" applyFill="1" applyProtection="1">
      <protection locked="0"/>
    </xf>
    <xf numFmtId="0" fontId="31" fillId="0" borderId="0" xfId="40" applyFont="1" applyFill="1" applyAlignment="1" applyProtection="1">
      <protection locked="0"/>
    </xf>
    <xf numFmtId="0" fontId="24" fillId="0" borderId="0" xfId="40" applyFont="1" applyFill="1" applyAlignment="1" applyProtection="1">
      <alignment wrapText="1"/>
      <protection locked="0"/>
    </xf>
    <xf numFmtId="0" fontId="25" fillId="0" borderId="0" xfId="40" applyFont="1" applyFill="1" applyAlignment="1" applyProtection="1">
      <alignment vertical="top"/>
      <protection locked="0"/>
    </xf>
    <xf numFmtId="0" fontId="24" fillId="0" borderId="0" xfId="40" applyFont="1" applyFill="1" applyBorder="1" applyAlignment="1" applyProtection="1">
      <alignment wrapText="1"/>
      <protection locked="0"/>
    </xf>
    <xf numFmtId="0" fontId="25" fillId="0" borderId="11" xfId="40" applyFont="1" applyFill="1" applyBorder="1" applyAlignment="1" applyProtection="1">
      <alignment horizontal="center" wrapText="1"/>
      <protection locked="0"/>
    </xf>
    <xf numFmtId="0" fontId="25" fillId="0" borderId="11" xfId="40" applyFont="1" applyFill="1" applyBorder="1" applyProtection="1">
      <protection locked="0"/>
    </xf>
    <xf numFmtId="0" fontId="25" fillId="0" borderId="0" xfId="40" applyFont="1" applyFill="1" applyBorder="1" applyProtection="1">
      <protection locked="0"/>
    </xf>
    <xf numFmtId="0" fontId="24" fillId="0" borderId="11" xfId="40" applyFont="1" applyFill="1" applyBorder="1" applyAlignment="1" applyProtection="1">
      <alignment horizontal="center" wrapText="1"/>
      <protection locked="0"/>
    </xf>
    <xf numFmtId="0" fontId="24" fillId="0" borderId="11" xfId="40" applyFont="1" applyFill="1" applyBorder="1" applyProtection="1">
      <protection locked="0"/>
    </xf>
    <xf numFmtId="0" fontId="24" fillId="0" borderId="11" xfId="41" applyFont="1" applyFill="1" applyBorder="1" applyAlignment="1" applyProtection="1">
      <alignment horizontal="left" wrapText="1" indent="1"/>
      <protection locked="0"/>
    </xf>
    <xf numFmtId="0" fontId="24" fillId="0" borderId="11" xfId="40" applyFont="1" applyFill="1" applyBorder="1" applyAlignment="1" applyProtection="1">
      <alignment horizontal="left" wrapText="1" indent="1"/>
      <protection locked="0"/>
    </xf>
    <xf numFmtId="0" fontId="24" fillId="0" borderId="12" xfId="40" applyFont="1" applyFill="1" applyBorder="1" applyAlignment="1" applyProtection="1">
      <alignment horizontal="center" wrapText="1"/>
      <protection locked="0"/>
    </xf>
    <xf numFmtId="0" fontId="37" fillId="0" borderId="15" xfId="40" applyBorder="1" applyAlignment="1" applyProtection="1">
      <alignment horizontal="center" wrapText="1"/>
      <protection locked="0"/>
    </xf>
    <xf numFmtId="0" fontId="25" fillId="0" borderId="11" xfId="41" applyFont="1" applyFill="1" applyBorder="1" applyAlignment="1" applyProtection="1">
      <alignment wrapText="1"/>
      <protection locked="0"/>
    </xf>
    <xf numFmtId="0" fontId="34" fillId="0" borderId="0" xfId="40" applyFont="1" applyFill="1" applyBorder="1" applyAlignment="1" applyProtection="1">
      <alignment wrapText="1"/>
      <protection locked="0"/>
    </xf>
    <xf numFmtId="0" fontId="25" fillId="0" borderId="11" xfId="40" applyFont="1" applyFill="1" applyBorder="1" applyAlignment="1" applyProtection="1">
      <protection locked="0"/>
    </xf>
    <xf numFmtId="164" fontId="24" fillId="0" borderId="11" xfId="29" applyNumberFormat="1" applyFont="1" applyFill="1" applyBorder="1" applyAlignment="1" applyProtection="1"/>
    <xf numFmtId="0" fontId="24" fillId="0" borderId="15" xfId="40" applyFont="1" applyFill="1" applyBorder="1" applyAlignment="1" applyProtection="1">
      <alignment horizontal="center" wrapText="1"/>
      <protection locked="0"/>
    </xf>
    <xf numFmtId="0" fontId="22" fillId="0" borderId="11" xfId="40" applyFont="1" applyFill="1" applyBorder="1" applyAlignment="1" applyProtection="1">
      <alignment horizontal="center"/>
      <protection locked="0"/>
    </xf>
    <xf numFmtId="164" fontId="24" fillId="0" borderId="11" xfId="40" applyNumberFormat="1" applyFont="1" applyFill="1" applyBorder="1" applyAlignment="1" applyProtection="1">
      <alignment horizontal="center"/>
      <protection locked="0"/>
    </xf>
    <xf numFmtId="0" fontId="22" fillId="0" borderId="11" xfId="40" applyFont="1" applyFill="1" applyBorder="1" applyAlignment="1" applyProtection="1">
      <alignment horizontal="center" vertical="center"/>
      <protection locked="0"/>
    </xf>
    <xf numFmtId="0" fontId="25" fillId="0" borderId="11" xfId="40" applyFont="1" applyFill="1" applyBorder="1" applyAlignment="1" applyProtection="1">
      <alignment vertical="center" wrapText="1"/>
      <protection locked="0"/>
    </xf>
    <xf numFmtId="164" fontId="24" fillId="0" borderId="11" xfId="29" applyNumberFormat="1" applyFont="1" applyFill="1" applyBorder="1" applyAlignment="1" applyProtection="1">
      <alignment horizontal="right"/>
    </xf>
    <xf numFmtId="0" fontId="23" fillId="0" borderId="11" xfId="40" applyFont="1" applyFill="1" applyBorder="1" applyAlignment="1" applyProtection="1">
      <alignment horizontal="center" vertical="center"/>
      <protection locked="0"/>
    </xf>
    <xf numFmtId="0" fontId="23" fillId="0" borderId="11" xfId="40" applyFont="1" applyFill="1" applyBorder="1" applyAlignment="1" applyProtection="1">
      <alignment horizontal="left" vertical="center" wrapText="1" indent="1"/>
      <protection locked="0"/>
    </xf>
    <xf numFmtId="0" fontId="35" fillId="0" borderId="11" xfId="40" applyFont="1" applyFill="1" applyBorder="1" applyAlignment="1" applyProtection="1">
      <alignment horizontal="center" vertical="center"/>
      <protection locked="0"/>
    </xf>
    <xf numFmtId="0" fontId="23" fillId="0" borderId="11" xfId="40" applyFont="1" applyFill="1" applyBorder="1" applyAlignment="1" applyProtection="1">
      <alignment horizontal="left" vertical="center" indent="1"/>
      <protection locked="0"/>
    </xf>
    <xf numFmtId="0" fontId="25" fillId="0" borderId="11" xfId="40" applyFont="1" applyFill="1" applyBorder="1" applyAlignment="1" applyProtection="1">
      <alignment vertical="center"/>
      <protection locked="0"/>
    </xf>
    <xf numFmtId="0" fontId="35" fillId="0" borderId="11" xfId="40" applyFont="1" applyFill="1" applyBorder="1" applyAlignment="1" applyProtection="1">
      <alignment horizontal="center"/>
      <protection locked="0"/>
    </xf>
    <xf numFmtId="0" fontId="22" fillId="0" borderId="11" xfId="40" applyFont="1" applyFill="1" applyBorder="1" applyProtection="1">
      <protection locked="0"/>
    </xf>
    <xf numFmtId="0" fontId="23" fillId="0" borderId="11" xfId="40" applyFont="1" applyFill="1" applyBorder="1" applyProtection="1">
      <protection locked="0"/>
    </xf>
    <xf numFmtId="0" fontId="23" fillId="0" borderId="11" xfId="40" applyFont="1" applyFill="1" applyBorder="1" applyAlignment="1" applyProtection="1">
      <alignment horizontal="left" indent="1"/>
      <protection locked="0"/>
    </xf>
    <xf numFmtId="0" fontId="24" fillId="0" borderId="11" xfId="40" applyFont="1" applyFill="1" applyBorder="1" applyAlignment="1" applyProtection="1">
      <alignment horizontal="center"/>
      <protection locked="0"/>
    </xf>
    <xf numFmtId="0" fontId="25" fillId="0" borderId="11" xfId="40" applyFont="1" applyFill="1" applyBorder="1" applyAlignment="1" applyProtection="1">
      <alignment horizontal="center"/>
      <protection locked="0"/>
    </xf>
    <xf numFmtId="0" fontId="22" fillId="0" borderId="11" xfId="40" applyFont="1" applyFill="1" applyBorder="1" applyAlignment="1" applyProtection="1">
      <alignment horizontal="left" indent="1"/>
      <protection locked="0"/>
    </xf>
    <xf numFmtId="0" fontId="25" fillId="0" borderId="11" xfId="40" applyFont="1" applyFill="1" applyBorder="1" applyAlignment="1" applyProtection="1">
      <alignment wrapText="1"/>
      <protection locked="0"/>
    </xf>
    <xf numFmtId="0" fontId="24" fillId="0" borderId="11" xfId="40" applyFont="1" applyFill="1" applyBorder="1" applyAlignment="1" applyProtection="1">
      <alignment wrapText="1"/>
      <protection locked="0"/>
    </xf>
    <xf numFmtId="0" fontId="24" fillId="0" borderId="11" xfId="40" applyFont="1" applyFill="1" applyBorder="1" applyAlignment="1" applyProtection="1">
      <alignment horizontal="left" indent="1"/>
      <protection locked="0"/>
    </xf>
    <xf numFmtId="164" fontId="24" fillId="0" borderId="11" xfId="40" applyNumberFormat="1" applyFont="1" applyFill="1" applyBorder="1" applyAlignment="1" applyProtection="1">
      <alignment horizontal="center" wrapText="1"/>
      <protection locked="0"/>
    </xf>
    <xf numFmtId="0" fontId="24" fillId="0" borderId="14" xfId="40" applyFont="1" applyFill="1" applyBorder="1" applyAlignment="1" applyProtection="1">
      <alignment horizontal="center" wrapText="1"/>
      <protection locked="0"/>
    </xf>
    <xf numFmtId="0" fontId="24" fillId="0" borderId="14" xfId="40" applyFont="1" applyFill="1" applyBorder="1" applyAlignment="1" applyProtection="1">
      <alignment wrapText="1"/>
      <protection locked="0"/>
    </xf>
    <xf numFmtId="164" fontId="24" fillId="0" borderId="11" xfId="40" applyNumberFormat="1" applyFont="1" applyFill="1" applyBorder="1" applyAlignment="1" applyProtection="1">
      <alignment horizontal="center"/>
    </xf>
    <xf numFmtId="164" fontId="5" fillId="14" borderId="11" xfId="29" applyNumberFormat="1" applyFont="1" applyFill="1" applyBorder="1" applyAlignment="1" applyProtection="1">
      <alignment horizontal="right"/>
    </xf>
    <xf numFmtId="0" fontId="34" fillId="0" borderId="0" xfId="0" applyFont="1" applyFill="1" applyBorder="1" applyAlignment="1" applyProtection="1">
      <alignment wrapText="1"/>
      <protection locked="0"/>
    </xf>
    <xf numFmtId="0" fontId="32" fillId="0" borderId="11" xfId="0" applyFont="1" applyFill="1" applyBorder="1" applyProtection="1">
      <protection locked="0"/>
    </xf>
    <xf numFmtId="0" fontId="25" fillId="0" borderId="0" xfId="0" applyFont="1" applyFill="1" applyBorder="1" applyProtection="1">
      <protection locked="0"/>
    </xf>
    <xf numFmtId="0" fontId="24" fillId="0" borderId="14" xfId="0" applyFont="1" applyFill="1" applyBorder="1" applyAlignment="1" applyProtection="1">
      <alignment horizontal="center" wrapText="1"/>
      <protection locked="0"/>
    </xf>
    <xf numFmtId="0" fontId="24" fillId="0" borderId="0" xfId="0" applyFont="1" applyFill="1" applyBorder="1" applyAlignment="1" applyProtection="1">
      <alignment wrapText="1"/>
      <protection locked="0"/>
    </xf>
    <xf numFmtId="0" fontId="24" fillId="0" borderId="16" xfId="0" applyFont="1" applyFill="1" applyBorder="1" applyAlignment="1" applyProtection="1">
      <alignment horizontal="center" wrapText="1"/>
      <protection locked="0"/>
    </xf>
    <xf numFmtId="0" fontId="25" fillId="0" borderId="11" xfId="0" applyFont="1" applyFill="1" applyBorder="1" applyAlignment="1" applyProtection="1">
      <alignment horizontal="left" wrapText="1" indent="1"/>
      <protection locked="0"/>
    </xf>
    <xf numFmtId="0" fontId="0" fillId="0" borderId="17" xfId="0" applyBorder="1" applyAlignment="1"/>
    <xf numFmtId="0" fontId="34" fillId="0" borderId="0" xfId="0" applyFont="1" applyFill="1" applyBorder="1" applyAlignment="1" applyProtection="1">
      <alignment horizontal="center" wrapText="1"/>
      <protection locked="0"/>
    </xf>
    <xf numFmtId="0" fontId="22" fillId="0" borderId="12" xfId="0" applyFont="1" applyFill="1" applyBorder="1" applyAlignment="1" applyProtection="1">
      <alignment horizontal="left" vertical="top"/>
      <protection locked="0"/>
    </xf>
    <xf numFmtId="0" fontId="0" fillId="0" borderId="15" xfId="0" applyBorder="1" applyAlignment="1"/>
    <xf numFmtId="0" fontId="24" fillId="0" borderId="0" xfId="0" applyFont="1" applyFill="1" applyBorder="1" applyAlignment="1" applyProtection="1">
      <alignment horizontal="center" wrapText="1"/>
      <protection locked="0"/>
    </xf>
    <xf numFmtId="0" fontId="23" fillId="0" borderId="16" xfId="0" applyFont="1" applyFill="1" applyBorder="1" applyProtection="1">
      <protection locked="0"/>
    </xf>
    <xf numFmtId="0" fontId="24" fillId="0" borderId="18" xfId="0" applyFont="1" applyFill="1" applyBorder="1" applyAlignment="1" applyProtection="1">
      <alignment horizontal="center"/>
      <protection locked="0"/>
    </xf>
    <xf numFmtId="0" fontId="24" fillId="0" borderId="19" xfId="0" applyFont="1" applyFill="1" applyBorder="1" applyAlignment="1" applyProtection="1">
      <alignment horizontal="center"/>
      <protection locked="0"/>
    </xf>
    <xf numFmtId="0" fontId="0" fillId="0" borderId="0" xfId="0" applyBorder="1"/>
    <xf numFmtId="0" fontId="24" fillId="0" borderId="20" xfId="0" applyFont="1" applyFill="1" applyBorder="1" applyAlignment="1" applyProtection="1">
      <alignment horizontal="center"/>
      <protection locked="0"/>
    </xf>
    <xf numFmtId="0" fontId="0" fillId="0" borderId="19" xfId="0" applyBorder="1" applyAlignment="1"/>
    <xf numFmtId="0" fontId="0" fillId="0" borderId="0" xfId="0" applyBorder="1" applyAlignment="1"/>
    <xf numFmtId="0" fontId="22" fillId="0" borderId="11" xfId="0" applyFont="1" applyFill="1" applyBorder="1" applyAlignment="1" applyProtection="1">
      <alignment horizontal="left" vertical="top" wrapText="1"/>
      <protection locked="0"/>
    </xf>
    <xf numFmtId="0" fontId="24" fillId="0" borderId="21" xfId="0" applyFont="1" applyFill="1" applyBorder="1" applyAlignment="1" applyProtection="1">
      <alignment horizontal="center"/>
      <protection locked="0"/>
    </xf>
    <xf numFmtId="0" fontId="24" fillId="0" borderId="15" xfId="0" applyFont="1" applyFill="1" applyBorder="1" applyAlignment="1" applyProtection="1">
      <alignment horizontal="center"/>
      <protection locked="0"/>
    </xf>
    <xf numFmtId="0" fontId="0" fillId="0" borderId="22" xfId="0" applyBorder="1"/>
    <xf numFmtId="0" fontId="0" fillId="0" borderId="23" xfId="0" applyBorder="1"/>
    <xf numFmtId="0" fontId="31" fillId="0" borderId="0" xfId="0" applyFont="1" applyFill="1" applyBorder="1" applyAlignment="1" applyProtection="1">
      <alignment horizontal="center"/>
      <protection locked="0"/>
    </xf>
    <xf numFmtId="0" fontId="24" fillId="0" borderId="0" xfId="0" applyFont="1" applyFill="1" applyBorder="1" applyAlignment="1" applyProtection="1">
      <alignment horizontal="center"/>
    </xf>
    <xf numFmtId="0" fontId="24" fillId="0" borderId="22" xfId="0" applyFont="1" applyFill="1" applyBorder="1" applyAlignment="1" applyProtection="1">
      <alignment horizontal="center"/>
      <protection locked="0"/>
    </xf>
    <xf numFmtId="0" fontId="24" fillId="0" borderId="23" xfId="0" applyFont="1" applyFill="1" applyBorder="1" applyAlignment="1" applyProtection="1">
      <alignment horizontal="center"/>
      <protection locked="0"/>
    </xf>
    <xf numFmtId="0" fontId="41" fillId="0" borderId="0" xfId="0" applyFont="1" applyFill="1" applyAlignment="1" applyProtection="1">
      <alignment horizontal="center"/>
      <protection locked="0"/>
    </xf>
    <xf numFmtId="0" fontId="25" fillId="0" borderId="18" xfId="0" applyFont="1" applyFill="1" applyBorder="1" applyAlignment="1" applyProtection="1">
      <alignment horizontal="center"/>
      <protection locked="0"/>
    </xf>
    <xf numFmtId="0" fontId="25" fillId="0" borderId="24" xfId="0" applyFont="1" applyFill="1" applyBorder="1" applyAlignment="1" applyProtection="1">
      <alignment horizontal="center"/>
      <protection locked="0"/>
    </xf>
    <xf numFmtId="0" fontId="25" fillId="0" borderId="0" xfId="0" applyFont="1" applyFill="1" applyBorder="1" applyAlignment="1" applyProtection="1">
      <alignment horizontal="left"/>
      <protection locked="0"/>
    </xf>
    <xf numFmtId="0" fontId="24" fillId="0" borderId="11" xfId="0" applyFont="1" applyFill="1" applyBorder="1" applyAlignment="1" applyProtection="1">
      <alignment horizontal="left" wrapText="1" indent="2"/>
      <protection locked="0"/>
    </xf>
    <xf numFmtId="0" fontId="25" fillId="0" borderId="22" xfId="0" applyFont="1" applyFill="1" applyBorder="1" applyAlignment="1" applyProtection="1">
      <alignment horizontal="left" indent="2"/>
      <protection locked="0"/>
    </xf>
    <xf numFmtId="0" fontId="25" fillId="0" borderId="0" xfId="0" applyFont="1" applyFill="1" applyBorder="1" applyAlignment="1" applyProtection="1">
      <alignment horizontal="left" indent="2"/>
      <protection locked="0"/>
    </xf>
    <xf numFmtId="0" fontId="24" fillId="0" borderId="11" xfId="0" applyFont="1" applyFill="1" applyBorder="1" applyAlignment="1" applyProtection="1">
      <alignment horizontal="left" wrapText="1" indent="1"/>
      <protection locked="0"/>
    </xf>
    <xf numFmtId="0" fontId="25" fillId="0" borderId="13" xfId="0" applyFont="1" applyFill="1" applyBorder="1" applyAlignment="1" applyProtection="1">
      <alignment horizontal="center"/>
      <protection locked="0"/>
    </xf>
    <xf numFmtId="0" fontId="25" fillId="0" borderId="16" xfId="0" applyFont="1" applyFill="1" applyBorder="1" applyAlignment="1" applyProtection="1">
      <alignment horizontal="center"/>
      <protection locked="0"/>
    </xf>
    <xf numFmtId="0" fontId="35" fillId="0" borderId="12" xfId="0" applyFont="1" applyFill="1" applyBorder="1" applyAlignment="1" applyProtection="1">
      <alignment horizontal="center"/>
      <protection locked="0"/>
    </xf>
    <xf numFmtId="0" fontId="24" fillId="0" borderId="17" xfId="0" applyFont="1" applyFill="1" applyBorder="1" applyAlignment="1" applyProtection="1">
      <alignment horizontal="left" wrapText="1" indent="2"/>
      <protection locked="0"/>
    </xf>
    <xf numFmtId="0" fontId="25" fillId="0" borderId="22" xfId="0" applyFont="1" applyFill="1" applyBorder="1" applyAlignment="1" applyProtection="1">
      <alignment horizontal="center" wrapText="1"/>
      <protection locked="0"/>
    </xf>
    <xf numFmtId="0" fontId="42" fillId="0" borderId="0" xfId="0" applyFont="1"/>
    <xf numFmtId="0" fontId="33" fillId="0" borderId="0" xfId="40" applyFont="1" applyFill="1" applyProtection="1">
      <protection locked="0"/>
    </xf>
    <xf numFmtId="0" fontId="43" fillId="0" borderId="10" xfId="36" applyFont="1" applyFill="1" applyBorder="1" applyAlignment="1" applyProtection="1">
      <protection locked="0"/>
    </xf>
    <xf numFmtId="0" fontId="24" fillId="0" borderId="13" xfId="0" applyFont="1" applyFill="1" applyBorder="1" applyAlignment="1" applyProtection="1">
      <alignment horizontal="center"/>
      <protection locked="0"/>
    </xf>
    <xf numFmtId="0" fontId="24" fillId="0" borderId="14" xfId="0" applyFont="1" applyBorder="1" applyAlignment="1">
      <alignment horizontal="center"/>
    </xf>
    <xf numFmtId="0" fontId="24" fillId="0" borderId="11" xfId="0" applyFont="1" applyFill="1" applyBorder="1" applyAlignment="1" applyProtection="1">
      <protection locked="0"/>
    </xf>
    <xf numFmtId="0" fontId="24" fillId="0" borderId="11" xfId="0" applyFont="1" applyFill="1" applyBorder="1" applyAlignment="1" applyProtection="1">
      <alignment horizontal="left"/>
      <protection locked="0"/>
    </xf>
    <xf numFmtId="0" fontId="24" fillId="0" borderId="11" xfId="40" applyFont="1" applyFill="1" applyBorder="1" applyAlignment="1" applyProtection="1">
      <alignment horizontal="left" wrapText="1"/>
      <protection locked="0"/>
    </xf>
    <xf numFmtId="0" fontId="25" fillId="0" borderId="12" xfId="0" applyFont="1" applyFill="1" applyBorder="1" applyProtection="1">
      <protection locked="0"/>
    </xf>
    <xf numFmtId="3" fontId="24" fillId="0" borderId="11" xfId="0" applyNumberFormat="1" applyFont="1" applyFill="1" applyBorder="1" applyAlignment="1" applyProtection="1">
      <alignment horizontal="center" wrapText="1"/>
      <protection locked="0"/>
    </xf>
    <xf numFmtId="3" fontId="24" fillId="0" borderId="13" xfId="0" applyNumberFormat="1" applyFont="1" applyFill="1" applyBorder="1" applyAlignment="1" applyProtection="1">
      <alignment horizontal="center"/>
      <protection locked="0"/>
    </xf>
    <xf numFmtId="0" fontId="24" fillId="0" borderId="0" xfId="40" applyFont="1"/>
    <xf numFmtId="0" fontId="44" fillId="0" borderId="10" xfId="36" applyFont="1" applyFill="1" applyBorder="1" applyAlignment="1" applyProtection="1">
      <protection locked="0"/>
    </xf>
    <xf numFmtId="0" fontId="24" fillId="0" borderId="15" xfId="40" applyFont="1" applyBorder="1" applyAlignment="1" applyProtection="1">
      <alignment horizontal="center" wrapText="1"/>
      <protection locked="0"/>
    </xf>
    <xf numFmtId="0" fontId="0" fillId="0" borderId="0" xfId="0" applyFill="1"/>
    <xf numFmtId="165" fontId="24" fillId="0" borderId="11" xfId="40" applyNumberFormat="1" applyFont="1" applyFill="1" applyBorder="1" applyProtection="1">
      <protection locked="0"/>
    </xf>
    <xf numFmtId="0" fontId="0" fillId="0" borderId="17" xfId="0" applyFill="1" applyBorder="1" applyAlignment="1"/>
    <xf numFmtId="0" fontId="0" fillId="0" borderId="15" xfId="0" applyFill="1" applyBorder="1" applyAlignment="1"/>
    <xf numFmtId="0" fontId="0" fillId="0" borderId="0" xfId="0" applyFill="1" applyBorder="1"/>
    <xf numFmtId="0" fontId="0" fillId="0" borderId="0" xfId="0" applyFill="1" applyBorder="1" applyAlignment="1"/>
    <xf numFmtId="0" fontId="0" fillId="0" borderId="14" xfId="0" applyFill="1" applyBorder="1" applyAlignment="1">
      <alignment horizontal="center"/>
    </xf>
    <xf numFmtId="0" fontId="25" fillId="24" borderId="11" xfId="0" applyFont="1" applyFill="1" applyBorder="1" applyAlignment="1" applyProtection="1">
      <alignment horizontal="center"/>
      <protection locked="0"/>
    </xf>
    <xf numFmtId="0" fontId="25" fillId="24" borderId="11" xfId="0" applyFont="1" applyFill="1" applyBorder="1" applyProtection="1">
      <protection locked="0"/>
    </xf>
    <xf numFmtId="0" fontId="24" fillId="24" borderId="11" xfId="0" applyFont="1" applyFill="1" applyBorder="1" applyAlignment="1" applyProtection="1">
      <alignment horizontal="center"/>
    </xf>
    <xf numFmtId="0" fontId="24" fillId="24" borderId="12" xfId="0" applyFont="1" applyFill="1" applyBorder="1" applyAlignment="1" applyProtection="1">
      <alignment horizontal="center"/>
    </xf>
    <xf numFmtId="0" fontId="24" fillId="24" borderId="0" xfId="0" applyFont="1" applyFill="1" applyBorder="1" applyAlignment="1" applyProtection="1">
      <alignment horizontal="center"/>
    </xf>
    <xf numFmtId="0" fontId="0" fillId="24" borderId="0" xfId="0" applyFill="1"/>
    <xf numFmtId="0" fontId="24" fillId="24" borderId="11" xfId="0" applyFont="1" applyFill="1" applyBorder="1" applyAlignment="1" applyProtection="1">
      <alignment horizontal="center"/>
      <protection locked="0"/>
    </xf>
    <xf numFmtId="0" fontId="24" fillId="24" borderId="11" xfId="0" applyFont="1" applyFill="1" applyBorder="1" applyAlignment="1" applyProtection="1">
      <alignment horizontal="left" indent="1"/>
      <protection locked="0"/>
    </xf>
    <xf numFmtId="0" fontId="24" fillId="24" borderId="12" xfId="0" applyFont="1" applyFill="1" applyBorder="1" applyAlignment="1" applyProtection="1">
      <alignment horizontal="center"/>
      <protection locked="0"/>
    </xf>
    <xf numFmtId="0" fontId="24" fillId="24" borderId="11" xfId="0" applyFont="1" applyFill="1" applyBorder="1" applyProtection="1">
      <protection locked="0"/>
    </xf>
    <xf numFmtId="0" fontId="35" fillId="24" borderId="11" xfId="0" applyFont="1" applyFill="1" applyBorder="1" applyAlignment="1" applyProtection="1">
      <alignment horizontal="center"/>
      <protection locked="0"/>
    </xf>
    <xf numFmtId="0" fontId="24" fillId="24" borderId="11" xfId="0" applyFont="1" applyFill="1" applyBorder="1" applyAlignment="1" applyProtection="1">
      <alignment horizontal="left" wrapText="1" indent="1"/>
      <protection locked="0"/>
    </xf>
    <xf numFmtId="0" fontId="25" fillId="0" borderId="10" xfId="40" applyFont="1" applyFill="1" applyBorder="1" applyProtection="1">
      <protection locked="0"/>
    </xf>
    <xf numFmtId="3" fontId="24" fillId="0" borderId="12" xfId="0" applyNumberFormat="1" applyFont="1" applyFill="1" applyBorder="1" applyAlignment="1" applyProtection="1">
      <alignment horizontal="center"/>
      <protection locked="0"/>
    </xf>
    <xf numFmtId="0" fontId="24" fillId="0" borderId="14" xfId="0" applyFont="1" applyBorder="1"/>
    <xf numFmtId="0" fontId="0" fillId="0" borderId="14" xfId="0" applyBorder="1"/>
    <xf numFmtId="0" fontId="45" fillId="0" borderId="10" xfId="36" applyFont="1" applyFill="1" applyBorder="1" applyAlignment="1" applyProtection="1">
      <protection locked="0"/>
    </xf>
    <xf numFmtId="166" fontId="0" fillId="0" borderId="0" xfId="0" applyNumberFormat="1"/>
    <xf numFmtId="3" fontId="46" fillId="0" borderId="0" xfId="0" applyNumberFormat="1" applyFont="1"/>
    <xf numFmtId="0" fontId="46" fillId="0" borderId="0" xfId="0" applyFont="1"/>
    <xf numFmtId="3" fontId="47" fillId="0" borderId="0" xfId="0" applyNumberFormat="1" applyFont="1"/>
    <xf numFmtId="0" fontId="24" fillId="0" borderId="10" xfId="0" applyFont="1" applyBorder="1" applyAlignment="1">
      <alignment horizontal="center"/>
    </xf>
    <xf numFmtId="0" fontId="36" fillId="0" borderId="0" xfId="0" applyFont="1" applyFill="1" applyAlignment="1" applyProtection="1">
      <alignment horizontal="center"/>
      <protection locked="0"/>
    </xf>
    <xf numFmtId="0" fontId="0" fillId="0" borderId="14" xfId="0" applyBorder="1" applyAlignment="1">
      <alignment horizontal="center"/>
    </xf>
    <xf numFmtId="0" fontId="24" fillId="0" borderId="16" xfId="0" applyFont="1" applyFill="1" applyBorder="1" applyAlignment="1" applyProtection="1">
      <alignment horizontal="center"/>
      <protection locked="0"/>
    </xf>
    <xf numFmtId="0" fontId="19" fillId="0" borderId="0" xfId="0" applyFont="1"/>
    <xf numFmtId="0" fontId="48" fillId="0" borderId="0" xfId="40" applyFont="1" applyFill="1" applyProtection="1">
      <protection locked="0"/>
    </xf>
    <xf numFmtId="0" fontId="24" fillId="0" borderId="11" xfId="40" applyFont="1" applyFill="1" applyBorder="1" applyAlignment="1" applyProtection="1">
      <alignment horizontal="left"/>
      <protection locked="0"/>
    </xf>
    <xf numFmtId="0" fontId="24" fillId="0" borderId="12" xfId="40" applyFont="1" applyFill="1" applyBorder="1" applyAlignment="1" applyProtection="1">
      <protection locked="0"/>
    </xf>
    <xf numFmtId="0" fontId="24" fillId="0" borderId="15" xfId="40" applyFont="1" applyFill="1" applyBorder="1" applyAlignment="1" applyProtection="1">
      <protection locked="0"/>
    </xf>
    <xf numFmtId="164" fontId="49" fillId="25" borderId="11" xfId="29" applyNumberFormat="1" applyFont="1" applyFill="1" applyBorder="1" applyAlignment="1" applyProtection="1">
      <alignment horizontal="right"/>
    </xf>
    <xf numFmtId="3" fontId="24" fillId="25" borderId="11" xfId="0" applyNumberFormat="1" applyFont="1" applyFill="1" applyBorder="1" applyAlignment="1" applyProtection="1">
      <alignment horizontal="center"/>
      <protection locked="0"/>
    </xf>
    <xf numFmtId="17" fontId="24" fillId="0" borderId="11" xfId="0" applyNumberFormat="1" applyFont="1" applyFill="1" applyBorder="1" applyProtection="1">
      <protection locked="0"/>
    </xf>
    <xf numFmtId="37" fontId="24" fillId="0" borderId="11" xfId="28" applyNumberFormat="1" applyFont="1" applyFill="1" applyBorder="1" applyAlignment="1" applyProtection="1">
      <alignment horizontal="center"/>
      <protection locked="0"/>
    </xf>
    <xf numFmtId="0" fontId="39" fillId="0" borderId="0" xfId="36" applyFont="1" applyAlignment="1" applyProtection="1"/>
    <xf numFmtId="0" fontId="50" fillId="0" borderId="0" xfId="0" applyFont="1" applyFill="1"/>
    <xf numFmtId="0" fontId="50" fillId="0" borderId="0" xfId="0" applyFont="1"/>
    <xf numFmtId="3" fontId="49" fillId="0" borderId="0" xfId="0" applyNumberFormat="1" applyFont="1"/>
    <xf numFmtId="0" fontId="51" fillId="0" borderId="11" xfId="0" applyFont="1" applyFill="1" applyBorder="1" applyAlignment="1" applyProtection="1">
      <alignment horizontal="center"/>
      <protection locked="0"/>
    </xf>
    <xf numFmtId="0" fontId="51" fillId="0" borderId="0" xfId="0" applyFont="1"/>
    <xf numFmtId="0" fontId="0" fillId="0" borderId="0" xfId="0" applyFill="1" applyAlignment="1">
      <alignment horizontal="center"/>
    </xf>
    <xf numFmtId="0" fontId="31" fillId="0" borderId="12" xfId="0" applyFont="1" applyFill="1" applyBorder="1" applyAlignment="1" applyProtection="1">
      <protection locked="0"/>
    </xf>
    <xf numFmtId="0" fontId="51" fillId="0" borderId="0" xfId="40" applyFont="1" applyFill="1" applyProtection="1">
      <protection locked="0"/>
    </xf>
    <xf numFmtId="0" fontId="22" fillId="25" borderId="11" xfId="40" applyFont="1" applyFill="1" applyBorder="1" applyAlignment="1" applyProtection="1">
      <alignment horizontal="center"/>
      <protection locked="0"/>
    </xf>
    <xf numFmtId="0" fontId="25" fillId="25" borderId="11" xfId="40" applyFont="1" applyFill="1" applyBorder="1" applyAlignment="1" applyProtection="1">
      <protection locked="0"/>
    </xf>
    <xf numFmtId="164" fontId="24" fillId="25" borderId="11" xfId="40" applyNumberFormat="1" applyFont="1" applyFill="1" applyBorder="1" applyAlignment="1" applyProtection="1">
      <alignment horizontal="center"/>
      <protection locked="0"/>
    </xf>
    <xf numFmtId="0" fontId="24" fillId="25" borderId="11" xfId="40" applyFont="1" applyFill="1" applyBorder="1" applyAlignment="1" applyProtection="1">
      <alignment horizontal="center" wrapText="1"/>
      <protection locked="0"/>
    </xf>
    <xf numFmtId="0" fontId="24" fillId="25" borderId="11" xfId="40" applyFont="1" applyFill="1" applyBorder="1" applyProtection="1">
      <protection locked="0"/>
    </xf>
    <xf numFmtId="0" fontId="22" fillId="25" borderId="11" xfId="40" applyFont="1" applyFill="1" applyBorder="1" applyAlignment="1" applyProtection="1">
      <alignment horizontal="center" vertical="center"/>
      <protection locked="0"/>
    </xf>
    <xf numFmtId="0" fontId="25" fillId="25" borderId="11" xfId="40" applyFont="1" applyFill="1" applyBorder="1" applyAlignment="1" applyProtection="1">
      <alignment vertical="center" wrapText="1"/>
      <protection locked="0"/>
    </xf>
    <xf numFmtId="164" fontId="24" fillId="25" borderId="11" xfId="29" applyNumberFormat="1" applyFont="1" applyFill="1" applyBorder="1" applyAlignment="1" applyProtection="1">
      <alignment horizontal="right"/>
    </xf>
    <xf numFmtId="0" fontId="23" fillId="25" borderId="11" xfId="40" applyFont="1" applyFill="1" applyBorder="1" applyAlignment="1" applyProtection="1">
      <alignment horizontal="center" vertical="center"/>
      <protection locked="0"/>
    </xf>
    <xf numFmtId="0" fontId="23" fillId="25" borderId="11" xfId="40" applyFont="1" applyFill="1" applyBorder="1" applyAlignment="1" applyProtection="1">
      <alignment horizontal="left" vertical="center" wrapText="1" indent="1"/>
      <protection locked="0"/>
    </xf>
    <xf numFmtId="164" fontId="24" fillId="25" borderId="11" xfId="41" applyNumberFormat="1" applyFont="1" applyFill="1" applyBorder="1" applyAlignment="1" applyProtection="1">
      <alignment horizontal="center"/>
      <protection locked="0"/>
    </xf>
    <xf numFmtId="164" fontId="24" fillId="25" borderId="11" xfId="41" applyNumberFormat="1" applyFont="1" applyFill="1" applyBorder="1" applyAlignment="1" applyProtection="1">
      <alignment horizontal="right"/>
    </xf>
    <xf numFmtId="0" fontId="35" fillId="25" borderId="11" xfId="40" applyFont="1" applyFill="1" applyBorder="1" applyAlignment="1" applyProtection="1">
      <alignment horizontal="center" vertical="center"/>
      <protection locked="0"/>
    </xf>
    <xf numFmtId="0" fontId="23" fillId="25" borderId="11" xfId="40" applyFont="1" applyFill="1" applyBorder="1" applyAlignment="1" applyProtection="1">
      <alignment horizontal="left" vertical="center" indent="1"/>
      <protection locked="0"/>
    </xf>
    <xf numFmtId="0" fontId="25" fillId="25" borderId="11" xfId="40" applyFont="1" applyFill="1" applyBorder="1" applyAlignment="1" applyProtection="1">
      <alignment vertical="center"/>
      <protection locked="0"/>
    </xf>
    <xf numFmtId="0" fontId="25" fillId="25" borderId="11" xfId="40" applyFont="1" applyFill="1" applyBorder="1" applyProtection="1">
      <protection locked="0"/>
    </xf>
    <xf numFmtId="0" fontId="35" fillId="25" borderId="11" xfId="40" applyFont="1" applyFill="1" applyBorder="1" applyAlignment="1" applyProtection="1">
      <alignment horizontal="center"/>
      <protection locked="0"/>
    </xf>
    <xf numFmtId="0" fontId="22" fillId="25" borderId="11" xfId="40" applyFont="1" applyFill="1" applyBorder="1" applyProtection="1">
      <protection locked="0"/>
    </xf>
    <xf numFmtId="0" fontId="25" fillId="25" borderId="11" xfId="40" applyFont="1" applyFill="1" applyBorder="1" applyAlignment="1" applyProtection="1">
      <alignment horizontal="center" wrapText="1"/>
      <protection locked="0"/>
    </xf>
    <xf numFmtId="0" fontId="23" fillId="25" borderId="11" xfId="40" applyFont="1" applyFill="1" applyBorder="1" applyProtection="1">
      <protection locked="0"/>
    </xf>
    <xf numFmtId="0" fontId="23" fillId="25" borderId="11" xfId="40" applyFont="1" applyFill="1" applyBorder="1" applyAlignment="1" applyProtection="1">
      <alignment horizontal="left" indent="1"/>
      <protection locked="0"/>
    </xf>
    <xf numFmtId="0" fontId="24" fillId="25" borderId="11" xfId="40" applyFont="1" applyFill="1" applyBorder="1" applyAlignment="1" applyProtection="1">
      <alignment horizontal="center"/>
      <protection locked="0"/>
    </xf>
    <xf numFmtId="0" fontId="25" fillId="25" borderId="11" xfId="40" applyFont="1" applyFill="1" applyBorder="1" applyAlignment="1" applyProtection="1">
      <alignment horizontal="center"/>
      <protection locked="0"/>
    </xf>
    <xf numFmtId="164" fontId="24" fillId="25" borderId="12" xfId="41" applyNumberFormat="1" applyFont="1" applyFill="1" applyBorder="1" applyAlignment="1" applyProtection="1">
      <alignment horizontal="center"/>
      <protection locked="0"/>
    </xf>
    <xf numFmtId="164" fontId="24" fillId="25" borderId="11" xfId="40" applyNumberFormat="1" applyFont="1" applyFill="1" applyBorder="1" applyAlignment="1" applyProtection="1">
      <alignment horizontal="center" wrapText="1"/>
      <protection locked="0"/>
    </xf>
    <xf numFmtId="0" fontId="24" fillId="25" borderId="14" xfId="40" applyFont="1" applyFill="1" applyBorder="1" applyAlignment="1" applyProtection="1">
      <alignment wrapText="1"/>
      <protection locked="0"/>
    </xf>
    <xf numFmtId="0" fontId="24" fillId="25" borderId="11" xfId="0" applyFont="1" applyFill="1" applyBorder="1" applyAlignment="1" applyProtection="1">
      <alignment horizontal="center"/>
      <protection locked="0"/>
    </xf>
    <xf numFmtId="0" fontId="0" fillId="25" borderId="0" xfId="0" applyFill="1"/>
    <xf numFmtId="0" fontId="24" fillId="25" borderId="11" xfId="0" applyFont="1" applyFill="1" applyBorder="1" applyProtection="1">
      <protection locked="0"/>
    </xf>
    <xf numFmtId="0" fontId="25" fillId="25" borderId="11" xfId="0" applyFont="1" applyFill="1" applyBorder="1" applyAlignment="1" applyProtection="1">
      <alignment horizontal="center"/>
      <protection locked="0"/>
    </xf>
    <xf numFmtId="0" fontId="25" fillId="25" borderId="11" xfId="0" applyFont="1" applyFill="1" applyBorder="1" applyProtection="1">
      <protection locked="0"/>
    </xf>
    <xf numFmtId="0" fontId="24" fillId="26" borderId="11" xfId="0" applyFont="1" applyFill="1" applyBorder="1" applyAlignment="1" applyProtection="1">
      <alignment horizontal="center"/>
      <protection locked="0"/>
    </xf>
    <xf numFmtId="0" fontId="36" fillId="25" borderId="11" xfId="0" applyFont="1" applyFill="1" applyBorder="1" applyAlignment="1" applyProtection="1">
      <alignment horizontal="center"/>
      <protection locked="0"/>
    </xf>
    <xf numFmtId="0" fontId="25" fillId="25" borderId="11" xfId="0" applyFont="1" applyFill="1" applyBorder="1" applyAlignment="1" applyProtection="1">
      <alignment horizontal="left" indent="1"/>
      <protection locked="0"/>
    </xf>
    <xf numFmtId="0" fontId="24" fillId="0" borderId="11" xfId="0" applyFont="1" applyFill="1" applyBorder="1" applyAlignment="1" applyProtection="1">
      <alignment horizontal="right"/>
    </xf>
    <xf numFmtId="0" fontId="24" fillId="0" borderId="11" xfId="0" applyFont="1" applyFill="1" applyBorder="1" applyAlignment="1" applyProtection="1">
      <alignment horizontal="right"/>
      <protection locked="0"/>
    </xf>
    <xf numFmtId="3" fontId="24" fillId="0" borderId="0" xfId="40" applyNumberFormat="1" applyFont="1" applyFill="1" applyBorder="1" applyProtection="1">
      <protection locked="0"/>
    </xf>
    <xf numFmtId="0" fontId="31" fillId="25" borderId="11" xfId="0" applyFont="1" applyFill="1" applyBorder="1" applyProtection="1">
      <protection locked="0"/>
    </xf>
    <xf numFmtId="0" fontId="25" fillId="0" borderId="11" xfId="0" applyFont="1" applyFill="1" applyBorder="1" applyAlignment="1" applyProtection="1">
      <alignment horizontal="left"/>
      <protection locked="0"/>
    </xf>
    <xf numFmtId="0" fontId="24" fillId="25" borderId="11" xfId="0" applyFont="1" applyFill="1" applyBorder="1" applyAlignment="1" applyProtection="1">
      <alignment horizontal="left"/>
      <protection locked="0"/>
    </xf>
    <xf numFmtId="0" fontId="25" fillId="25" borderId="11" xfId="0" applyFont="1" applyFill="1" applyBorder="1" applyAlignment="1" applyProtection="1">
      <alignment horizontal="left"/>
      <protection locked="0"/>
    </xf>
    <xf numFmtId="0" fontId="44" fillId="25" borderId="0" xfId="36" applyFont="1" applyFill="1" applyAlignment="1" applyProtection="1"/>
    <xf numFmtId="0" fontId="49" fillId="25" borderId="0" xfId="0" applyFont="1" applyFill="1"/>
    <xf numFmtId="0" fontId="55" fillId="0" borderId="10" xfId="36" applyFont="1" applyFill="1" applyBorder="1" applyAlignment="1" applyProtection="1">
      <protection locked="0"/>
    </xf>
    <xf numFmtId="9" fontId="0" fillId="0" borderId="0" xfId="0" applyNumberFormat="1" applyAlignment="1">
      <alignment horizontal="center"/>
    </xf>
    <xf numFmtId="164" fontId="24" fillId="0" borderId="11" xfId="29" applyNumberFormat="1" applyFont="1" applyFill="1" applyBorder="1" applyAlignment="1" applyProtection="1">
      <alignment horizontal="center"/>
    </xf>
    <xf numFmtId="164" fontId="24" fillId="0" borderId="11" xfId="41" applyNumberFormat="1" applyFont="1" applyFill="1" applyBorder="1" applyAlignment="1" applyProtection="1">
      <alignment horizontal="center"/>
    </xf>
    <xf numFmtId="164" fontId="24" fillId="0" borderId="13" xfId="41" applyNumberFormat="1" applyFont="1" applyFill="1" applyBorder="1" applyAlignment="1" applyProtection="1">
      <alignment horizontal="center"/>
      <protection locked="0"/>
    </xf>
    <xf numFmtId="3" fontId="0" fillId="25" borderId="0" xfId="0" applyNumberFormat="1" applyFill="1" applyAlignment="1">
      <alignment horizontal="center"/>
    </xf>
    <xf numFmtId="0" fontId="25" fillId="0" borderId="10" xfId="0" applyFont="1" applyFill="1" applyBorder="1" applyProtection="1">
      <protection locked="0"/>
    </xf>
    <xf numFmtId="0" fontId="56" fillId="0" borderId="10" xfId="36" applyFont="1" applyFill="1" applyBorder="1" applyAlignment="1" applyProtection="1">
      <protection locked="0"/>
    </xf>
    <xf numFmtId="167" fontId="24" fillId="0" borderId="11" xfId="41" applyNumberFormat="1" applyFont="1" applyFill="1" applyBorder="1" applyAlignment="1" applyProtection="1">
      <alignment horizontal="center"/>
      <protection locked="0"/>
    </xf>
    <xf numFmtId="168" fontId="29" fillId="0" borderId="0" xfId="28" applyNumberFormat="1" applyFont="1" applyFill="1" applyAlignment="1" applyProtection="1">
      <alignment horizontal="right"/>
      <protection locked="0"/>
    </xf>
    <xf numFmtId="168" fontId="33" fillId="0" borderId="0" xfId="40" applyNumberFormat="1" applyFont="1" applyFill="1" applyProtection="1">
      <protection locked="0"/>
    </xf>
    <xf numFmtId="168" fontId="25" fillId="0" borderId="0" xfId="40" applyNumberFormat="1" applyFont="1" applyFill="1" applyProtection="1">
      <protection locked="0"/>
    </xf>
    <xf numFmtId="0" fontId="57" fillId="0" borderId="0" xfId="40" applyFont="1" applyFill="1" applyProtection="1">
      <protection locked="0"/>
    </xf>
    <xf numFmtId="0" fontId="24" fillId="0" borderId="0" xfId="40" applyFont="1" applyAlignment="1">
      <alignment horizontal="left"/>
    </xf>
    <xf numFmtId="168" fontId="24" fillId="0" borderId="0" xfId="28" applyNumberFormat="1" applyFont="1" applyFill="1" applyAlignment="1" applyProtection="1">
      <alignment horizontal="right"/>
      <protection locked="0"/>
    </xf>
    <xf numFmtId="168" fontId="24" fillId="0" borderId="0" xfId="40" applyNumberFormat="1" applyFont="1" applyFill="1" applyProtection="1">
      <protection locked="0"/>
    </xf>
    <xf numFmtId="0" fontId="41" fillId="0" borderId="0" xfId="40" applyFont="1"/>
    <xf numFmtId="0" fontId="24" fillId="0" borderId="10" xfId="40" applyFont="1" applyFill="1" applyBorder="1" applyAlignment="1" applyProtection="1">
      <alignment horizontal="left"/>
      <protection locked="0"/>
    </xf>
    <xf numFmtId="168" fontId="24" fillId="0" borderId="0" xfId="28" applyNumberFormat="1" applyFont="1" applyFill="1" applyBorder="1" applyAlignment="1" applyProtection="1">
      <alignment horizontal="right"/>
      <protection locked="0"/>
    </xf>
    <xf numFmtId="168" fontId="33" fillId="0" borderId="0" xfId="40" applyNumberFormat="1" applyFont="1" applyFill="1" applyBorder="1" applyProtection="1">
      <protection locked="0"/>
    </xf>
    <xf numFmtId="168" fontId="24" fillId="0" borderId="0" xfId="40" applyNumberFormat="1" applyFont="1" applyFill="1" applyBorder="1" applyProtection="1">
      <protection locked="0"/>
    </xf>
    <xf numFmtId="168" fontId="31" fillId="0" borderId="0" xfId="40" applyNumberFormat="1" applyFont="1" applyFill="1" applyBorder="1" applyProtection="1">
      <protection locked="0"/>
    </xf>
    <xf numFmtId="0" fontId="24" fillId="0" borderId="0" xfId="40" applyFont="1" applyFill="1" applyBorder="1" applyAlignment="1" applyProtection="1">
      <alignment horizontal="left"/>
      <protection locked="0"/>
    </xf>
    <xf numFmtId="168" fontId="31" fillId="0" borderId="0" xfId="40" applyNumberFormat="1" applyFont="1" applyFill="1" applyProtection="1">
      <protection locked="0"/>
    </xf>
    <xf numFmtId="0" fontId="44" fillId="0" borderId="10" xfId="36" applyFont="1" applyFill="1" applyBorder="1" applyAlignment="1" applyProtection="1">
      <alignment horizontal="left"/>
      <protection locked="0"/>
    </xf>
    <xf numFmtId="168" fontId="31" fillId="0" borderId="0" xfId="40" applyNumberFormat="1" applyFont="1" applyFill="1" applyAlignment="1" applyProtection="1">
      <protection locked="0"/>
    </xf>
    <xf numFmtId="168" fontId="24" fillId="0" borderId="0" xfId="28" applyNumberFormat="1" applyFont="1" applyAlignment="1">
      <alignment horizontal="right"/>
    </xf>
    <xf numFmtId="168" fontId="24" fillId="0" borderId="0" xfId="40" applyNumberFormat="1" applyFont="1"/>
    <xf numFmtId="0" fontId="0" fillId="0" borderId="0" xfId="0" applyAlignment="1">
      <alignment horizontal="left"/>
    </xf>
    <xf numFmtId="168" fontId="0" fillId="0" borderId="0" xfId="28" applyNumberFormat="1" applyFont="1" applyAlignment="1">
      <alignment horizontal="right"/>
    </xf>
    <xf numFmtId="168" fontId="0" fillId="0" borderId="0" xfId="0" applyNumberFormat="1"/>
    <xf numFmtId="0" fontId="41" fillId="0" borderId="0" xfId="0" applyFont="1"/>
    <xf numFmtId="0" fontId="25" fillId="0" borderId="11" xfId="41" applyFont="1" applyFill="1" applyBorder="1" applyAlignment="1" applyProtection="1">
      <alignment horizontal="left"/>
      <protection locked="0"/>
    </xf>
    <xf numFmtId="168" fontId="25" fillId="0" borderId="11" xfId="28" applyNumberFormat="1" applyFont="1" applyFill="1" applyBorder="1" applyAlignment="1" applyProtection="1">
      <alignment horizontal="right"/>
      <protection locked="0"/>
    </xf>
    <xf numFmtId="0" fontId="41" fillId="0" borderId="11" xfId="40" applyFont="1" applyFill="1" applyBorder="1" applyProtection="1">
      <protection locked="0"/>
    </xf>
    <xf numFmtId="168" fontId="24" fillId="0" borderId="11" xfId="28" applyNumberFormat="1" applyFont="1" applyFill="1" applyBorder="1" applyAlignment="1" applyProtection="1">
      <alignment horizontal="right"/>
      <protection locked="0"/>
    </xf>
    <xf numFmtId="168" fontId="25" fillId="0" borderId="11" xfId="28" applyNumberFormat="1" applyFont="1" applyFill="1" applyBorder="1" applyAlignment="1" applyProtection="1">
      <alignment horizontal="right"/>
    </xf>
    <xf numFmtId="168" fontId="24" fillId="0" borderId="12" xfId="40" applyNumberFormat="1" applyFont="1" applyFill="1" applyBorder="1" applyAlignment="1" applyProtection="1">
      <alignment horizontal="center" wrapText="1"/>
      <protection locked="0"/>
    </xf>
    <xf numFmtId="168" fontId="24" fillId="0" borderId="15" xfId="40" applyNumberFormat="1" applyFont="1" applyBorder="1" applyAlignment="1" applyProtection="1">
      <alignment horizontal="center" wrapText="1"/>
      <protection locked="0"/>
    </xf>
    <xf numFmtId="9" fontId="24" fillId="0" borderId="11" xfId="28" applyNumberFormat="1" applyFont="1" applyFill="1" applyBorder="1" applyAlignment="1" applyProtection="1">
      <alignment horizontal="right"/>
      <protection locked="0"/>
    </xf>
    <xf numFmtId="0" fontId="25" fillId="0" borderId="11" xfId="40" applyFont="1" applyFill="1" applyBorder="1" applyAlignment="1" applyProtection="1">
      <alignment horizontal="left"/>
      <protection locked="0"/>
    </xf>
    <xf numFmtId="5" fontId="25" fillId="0" borderId="11" xfId="28" applyNumberFormat="1" applyFont="1" applyFill="1" applyBorder="1" applyAlignment="1" applyProtection="1">
      <alignment horizontal="right"/>
    </xf>
    <xf numFmtId="5" fontId="24" fillId="0" borderId="11" xfId="28" applyNumberFormat="1" applyFont="1" applyFill="1" applyBorder="1" applyAlignment="1" applyProtection="1">
      <alignment horizontal="right"/>
      <protection locked="0"/>
    </xf>
    <xf numFmtId="5" fontId="25" fillId="0" borderId="11" xfId="28" applyNumberFormat="1" applyFont="1" applyFill="1" applyBorder="1" applyAlignment="1" applyProtection="1">
      <alignment horizontal="right"/>
      <protection locked="0"/>
    </xf>
    <xf numFmtId="0" fontId="25" fillId="0" borderId="11" xfId="40" applyFont="1" applyFill="1" applyBorder="1" applyAlignment="1" applyProtection="1">
      <alignment horizontal="left" vertical="center" wrapText="1"/>
      <protection locked="0"/>
    </xf>
    <xf numFmtId="5" fontId="25" fillId="0" borderId="11" xfId="29" applyNumberFormat="1" applyFont="1" applyFill="1" applyBorder="1" applyAlignment="1" applyProtection="1">
      <alignment horizontal="right"/>
    </xf>
    <xf numFmtId="5" fontId="24" fillId="0" borderId="11" xfId="29" applyNumberFormat="1" applyFont="1" applyFill="1" applyBorder="1" applyAlignment="1" applyProtection="1">
      <alignment horizontal="right"/>
      <protection locked="0"/>
    </xf>
    <xf numFmtId="0" fontId="25" fillId="0" borderId="11" xfId="40" applyFont="1" applyFill="1" applyBorder="1" applyAlignment="1" applyProtection="1">
      <alignment horizontal="left" vertical="center"/>
      <protection locked="0"/>
    </xf>
    <xf numFmtId="0" fontId="22" fillId="0" borderId="11" xfId="40" applyFont="1" applyFill="1" applyBorder="1" applyAlignment="1" applyProtection="1">
      <alignment horizontal="left"/>
      <protection locked="0"/>
    </xf>
    <xf numFmtId="0" fontId="23" fillId="0" borderId="11" xfId="40" applyFont="1" applyFill="1" applyBorder="1" applyAlignment="1" applyProtection="1">
      <alignment horizontal="left"/>
      <protection locked="0"/>
    </xf>
    <xf numFmtId="0" fontId="23" fillId="0" borderId="11" xfId="40" applyFont="1" applyFill="1" applyBorder="1" applyAlignment="1" applyProtection="1">
      <alignment horizontal="left" wrapText="1" indent="1"/>
      <protection locked="0"/>
    </xf>
    <xf numFmtId="5" fontId="25" fillId="0" borderId="12" xfId="29" applyNumberFormat="1" applyFont="1" applyFill="1" applyBorder="1" applyAlignment="1" applyProtection="1">
      <alignment horizontal="right"/>
      <protection locked="0"/>
    </xf>
    <xf numFmtId="5" fontId="24" fillId="0" borderId="12" xfId="29" applyNumberFormat="1" applyFont="1" applyFill="1" applyBorder="1" applyAlignment="1" applyProtection="1">
      <alignment horizontal="right"/>
      <protection locked="0"/>
    </xf>
    <xf numFmtId="0" fontId="25" fillId="0" borderId="11" xfId="40" applyFont="1" applyFill="1" applyBorder="1" applyAlignment="1" applyProtection="1">
      <alignment horizontal="left" wrapText="1"/>
      <protection locked="0"/>
    </xf>
    <xf numFmtId="5" fontId="25" fillId="0" borderId="11" xfId="29" applyNumberFormat="1" applyFont="1" applyFill="1" applyBorder="1" applyAlignment="1" applyProtection="1">
      <alignment horizontal="right"/>
      <protection locked="0"/>
    </xf>
    <xf numFmtId="0" fontId="24" fillId="0" borderId="11" xfId="40" applyFont="1" applyFill="1" applyBorder="1" applyAlignment="1" applyProtection="1">
      <alignment horizontal="center" vertical="center"/>
      <protection locked="0"/>
    </xf>
    <xf numFmtId="0" fontId="24" fillId="0" borderId="11" xfId="40" applyFont="1" applyFill="1" applyBorder="1" applyAlignment="1" applyProtection="1">
      <alignment horizontal="left" vertical="center"/>
      <protection locked="0"/>
    </xf>
    <xf numFmtId="5" fontId="24" fillId="0" borderId="11" xfId="29" applyNumberFormat="1" applyFont="1" applyFill="1" applyBorder="1" applyAlignment="1" applyProtection="1">
      <alignment horizontal="right" vertical="center"/>
      <protection locked="0"/>
    </xf>
    <xf numFmtId="5" fontId="25" fillId="0" borderId="11" xfId="29" applyNumberFormat="1" applyFont="1" applyFill="1" applyBorder="1" applyAlignment="1" applyProtection="1">
      <alignment horizontal="right" wrapText="1"/>
      <protection locked="0"/>
    </xf>
    <xf numFmtId="5" fontId="8" fillId="14" borderId="11" xfId="29" applyNumberFormat="1" applyFont="1" applyFill="1" applyBorder="1" applyAlignment="1" applyProtection="1">
      <alignment horizontal="right"/>
    </xf>
    <xf numFmtId="168" fontId="25" fillId="0" borderId="11" xfId="0" applyNumberFormat="1" applyFont="1" applyFill="1" applyBorder="1" applyAlignment="1" applyProtection="1">
      <alignment horizontal="center"/>
      <protection locked="0"/>
    </xf>
    <xf numFmtId="0" fontId="59" fillId="0" borderId="11" xfId="0" applyFont="1" applyFill="1" applyBorder="1" applyProtection="1">
      <protection locked="0"/>
    </xf>
    <xf numFmtId="0" fontId="41" fillId="0" borderId="11" xfId="0" applyFont="1" applyFill="1" applyBorder="1" applyProtection="1">
      <protection locked="0"/>
    </xf>
    <xf numFmtId="168" fontId="24" fillId="0" borderId="11" xfId="28" applyNumberFormat="1" applyFont="1" applyFill="1" applyBorder="1" applyAlignment="1" applyProtection="1">
      <alignment horizontal="right"/>
    </xf>
    <xf numFmtId="168" fontId="24" fillId="0" borderId="11" xfId="0" applyNumberFormat="1" applyFont="1" applyFill="1" applyBorder="1" applyAlignment="1" applyProtection="1">
      <alignment horizontal="right"/>
      <protection locked="0"/>
    </xf>
    <xf numFmtId="168" fontId="24" fillId="0" borderId="11" xfId="0" applyNumberFormat="1" applyFont="1" applyFill="1" applyBorder="1" applyAlignment="1" applyProtection="1">
      <alignment horizontal="center"/>
      <protection locked="0"/>
    </xf>
    <xf numFmtId="0" fontId="25" fillId="0" borderId="11" xfId="0" applyFont="1" applyFill="1" applyBorder="1" applyAlignment="1" applyProtection="1">
      <alignment horizontal="left" wrapText="1"/>
      <protection locked="0"/>
    </xf>
    <xf numFmtId="168" fontId="24" fillId="0" borderId="11" xfId="0" applyNumberFormat="1" applyFont="1" applyFill="1" applyBorder="1" applyAlignment="1" applyProtection="1">
      <alignment horizontal="center"/>
    </xf>
    <xf numFmtId="168" fontId="24" fillId="0" borderId="0" xfId="28" applyNumberFormat="1" applyFont="1"/>
    <xf numFmtId="168" fontId="24" fillId="0" borderId="31" xfId="28" applyNumberFormat="1" applyFont="1" applyFill="1" applyBorder="1" applyAlignment="1" applyProtection="1">
      <alignment horizontal="right"/>
      <protection locked="0"/>
    </xf>
    <xf numFmtId="168" fontId="24" fillId="0" borderId="14" xfId="28" applyNumberFormat="1" applyFont="1" applyFill="1" applyBorder="1" applyAlignment="1" applyProtection="1">
      <alignment horizontal="right"/>
      <protection locked="0"/>
    </xf>
    <xf numFmtId="168" fontId="24" fillId="0" borderId="11" xfId="28" applyNumberFormat="1" applyFont="1" applyFill="1" applyBorder="1" applyAlignment="1" applyProtection="1">
      <alignment horizontal="right" wrapText="1"/>
    </xf>
    <xf numFmtId="168" fontId="24" fillId="0" borderId="11" xfId="28" applyNumberFormat="1" applyFont="1" applyFill="1" applyBorder="1" applyAlignment="1" applyProtection="1">
      <alignment horizontal="right" wrapText="1"/>
      <protection locked="0"/>
    </xf>
    <xf numFmtId="0" fontId="22" fillId="0" borderId="11" xfId="0" applyFont="1" applyFill="1" applyBorder="1" applyAlignment="1" applyProtection="1">
      <alignment horizontal="left"/>
      <protection locked="0"/>
    </xf>
    <xf numFmtId="0" fontId="23" fillId="0" borderId="11" xfId="0" applyFont="1" applyFill="1" applyBorder="1" applyAlignment="1" applyProtection="1">
      <alignment horizontal="left"/>
      <protection locked="0"/>
    </xf>
    <xf numFmtId="168" fontId="0" fillId="0" borderId="17" xfId="28" applyNumberFormat="1" applyFont="1" applyBorder="1" applyAlignment="1">
      <alignment horizontal="right"/>
    </xf>
    <xf numFmtId="168" fontId="0" fillId="0" borderId="17" xfId="0" applyNumberFormat="1" applyBorder="1" applyAlignment="1"/>
    <xf numFmtId="168" fontId="0" fillId="0" borderId="15" xfId="0" applyNumberFormat="1" applyBorder="1" applyAlignment="1"/>
    <xf numFmtId="0" fontId="23" fillId="0" borderId="16" xfId="0" applyFont="1" applyFill="1" applyBorder="1" applyAlignment="1" applyProtection="1">
      <alignment horizontal="left"/>
      <protection locked="0"/>
    </xf>
    <xf numFmtId="168" fontId="24" fillId="0" borderId="32" xfId="28" applyNumberFormat="1" applyFont="1" applyBorder="1" applyAlignment="1">
      <alignment horizontal="right"/>
    </xf>
    <xf numFmtId="168" fontId="24" fillId="0" borderId="19" xfId="0" applyNumberFormat="1" applyFont="1" applyFill="1" applyBorder="1" applyAlignment="1" applyProtection="1">
      <alignment horizontal="center"/>
      <protection locked="0"/>
    </xf>
    <xf numFmtId="168" fontId="24" fillId="0" borderId="0" xfId="0" applyNumberFormat="1" applyFont="1" applyFill="1" applyBorder="1" applyAlignment="1" applyProtection="1">
      <alignment horizontal="center"/>
      <protection locked="0"/>
    </xf>
    <xf numFmtId="0" fontId="41" fillId="0" borderId="0" xfId="0" applyFont="1" applyBorder="1"/>
    <xf numFmtId="168" fontId="24" fillId="0" borderId="33" xfId="28" applyNumberFormat="1" applyFont="1" applyBorder="1" applyAlignment="1">
      <alignment horizontal="right"/>
    </xf>
    <xf numFmtId="168" fontId="0" fillId="0" borderId="19" xfId="0" applyNumberFormat="1" applyBorder="1" applyAlignment="1"/>
    <xf numFmtId="168" fontId="0" fillId="0" borderId="0" xfId="0" applyNumberFormat="1" applyBorder="1" applyAlignment="1"/>
    <xf numFmtId="168" fontId="24" fillId="0" borderId="12" xfId="28" applyNumberFormat="1" applyFont="1" applyFill="1" applyBorder="1" applyAlignment="1" applyProtection="1">
      <alignment horizontal="right"/>
      <protection locked="0"/>
    </xf>
    <xf numFmtId="168" fontId="24" fillId="0" borderId="12" xfId="28" applyNumberFormat="1" applyFont="1" applyFill="1" applyBorder="1" applyAlignment="1" applyProtection="1">
      <alignment horizontal="right"/>
    </xf>
    <xf numFmtId="168" fontId="24" fillId="0" borderId="20" xfId="28" applyNumberFormat="1" applyFont="1" applyFill="1" applyBorder="1" applyAlignment="1" applyProtection="1">
      <alignment horizontal="right"/>
      <protection locked="0"/>
    </xf>
    <xf numFmtId="168" fontId="24" fillId="0" borderId="21" xfId="0" applyNumberFormat="1" applyFont="1" applyFill="1" applyBorder="1" applyAlignment="1" applyProtection="1">
      <alignment horizontal="center"/>
      <protection locked="0"/>
    </xf>
    <xf numFmtId="168" fontId="24" fillId="0" borderId="15" xfId="0" applyNumberFormat="1" applyFont="1" applyFill="1" applyBorder="1" applyAlignment="1" applyProtection="1">
      <alignment horizontal="center"/>
      <protection locked="0"/>
    </xf>
    <xf numFmtId="168" fontId="0" fillId="0" borderId="22" xfId="0" applyNumberFormat="1" applyBorder="1"/>
    <xf numFmtId="168" fontId="0" fillId="0" borderId="23" xfId="0" applyNumberFormat="1" applyBorder="1"/>
    <xf numFmtId="168" fontId="24" fillId="0" borderId="34" xfId="28" applyNumberFormat="1" applyFont="1" applyFill="1" applyBorder="1" applyAlignment="1" applyProtection="1">
      <alignment horizontal="right"/>
      <protection locked="0"/>
    </xf>
    <xf numFmtId="168" fontId="31" fillId="0" borderId="15" xfId="0" applyNumberFormat="1" applyFont="1" applyFill="1" applyBorder="1" applyAlignment="1" applyProtection="1">
      <alignment horizontal="center"/>
      <protection locked="0"/>
    </xf>
    <xf numFmtId="168" fontId="31" fillId="0" borderId="11" xfId="0" applyNumberFormat="1" applyFont="1" applyFill="1" applyBorder="1" applyAlignment="1" applyProtection="1">
      <alignment horizontal="center"/>
      <protection locked="0"/>
    </xf>
    <xf numFmtId="168" fontId="24" fillId="0" borderId="34" xfId="28" applyNumberFormat="1" applyFont="1" applyFill="1" applyBorder="1" applyAlignment="1" applyProtection="1">
      <alignment horizontal="right"/>
    </xf>
    <xf numFmtId="168" fontId="24" fillId="0" borderId="15" xfId="0" applyNumberFormat="1" applyFont="1" applyFill="1" applyBorder="1" applyAlignment="1" applyProtection="1">
      <alignment horizontal="right"/>
    </xf>
    <xf numFmtId="168" fontId="24" fillId="0" borderId="11" xfId="0" applyNumberFormat="1" applyFont="1" applyFill="1" applyBorder="1" applyAlignment="1" applyProtection="1">
      <alignment horizontal="right"/>
    </xf>
    <xf numFmtId="0" fontId="41" fillId="0" borderId="28" xfId="0" applyFont="1" applyFill="1" applyBorder="1" applyAlignment="1" applyProtection="1">
      <alignment horizontal="center" vertical="center"/>
      <protection locked="0"/>
    </xf>
    <xf numFmtId="0" fontId="25" fillId="0" borderId="31" xfId="0" applyFont="1" applyFill="1" applyBorder="1" applyAlignment="1" applyProtection="1">
      <alignment horizontal="left" vertical="center"/>
      <protection locked="0"/>
    </xf>
    <xf numFmtId="168" fontId="24" fillId="0" borderId="31" xfId="28" applyNumberFormat="1" applyFont="1" applyFill="1" applyBorder="1" applyAlignment="1" applyProtection="1">
      <alignment horizontal="right" vertical="center"/>
      <protection locked="0"/>
    </xf>
    <xf numFmtId="0" fontId="41" fillId="0" borderId="0" xfId="0" applyFont="1" applyAlignment="1">
      <alignment vertical="center"/>
    </xf>
    <xf numFmtId="168" fontId="25" fillId="0" borderId="0" xfId="28" applyNumberFormat="1" applyFont="1" applyFill="1" applyAlignment="1" applyProtection="1">
      <alignment horizontal="right"/>
      <protection locked="0"/>
    </xf>
    <xf numFmtId="168" fontId="25" fillId="0" borderId="0" xfId="0" applyNumberFormat="1" applyFont="1" applyFill="1" applyAlignment="1" applyProtection="1">
      <alignment horizontal="center"/>
      <protection locked="0"/>
    </xf>
    <xf numFmtId="0" fontId="24" fillId="0" borderId="0" xfId="0" applyFont="1" applyFill="1" applyBorder="1" applyAlignment="1" applyProtection="1">
      <alignment horizontal="left"/>
      <protection locked="0"/>
    </xf>
    <xf numFmtId="168" fontId="24" fillId="0" borderId="11" xfId="0" applyNumberFormat="1" applyFont="1" applyFill="1" applyBorder="1" applyAlignment="1" applyProtection="1">
      <alignment horizontal="center" wrapText="1"/>
      <protection locked="0"/>
    </xf>
    <xf numFmtId="0" fontId="41" fillId="0" borderId="0" xfId="0" applyFont="1" applyFill="1" applyProtection="1">
      <protection locked="0"/>
    </xf>
    <xf numFmtId="168" fontId="24" fillId="0" borderId="11" xfId="28" applyNumberFormat="1" applyFont="1" applyFill="1" applyBorder="1" applyAlignment="1" applyProtection="1">
      <alignment horizontal="right" indent="2"/>
      <protection locked="0"/>
    </xf>
    <xf numFmtId="168" fontId="25" fillId="0" borderId="0" xfId="0" applyNumberFormat="1" applyFont="1" applyFill="1" applyBorder="1" applyAlignment="1" applyProtection="1">
      <alignment horizontal="left" indent="2"/>
      <protection locked="0"/>
    </xf>
    <xf numFmtId="168" fontId="0" fillId="0" borderId="31" xfId="28" applyNumberFormat="1" applyFont="1" applyBorder="1" applyAlignment="1">
      <alignment horizontal="right"/>
    </xf>
    <xf numFmtId="168" fontId="24" fillId="0" borderId="35" xfId="28" applyNumberFormat="1" applyFont="1" applyFill="1" applyBorder="1" applyAlignment="1" applyProtection="1">
      <alignment horizontal="right"/>
      <protection locked="0"/>
    </xf>
    <xf numFmtId="168" fontId="24" fillId="0" borderId="36" xfId="28" applyNumberFormat="1" applyFont="1" applyFill="1" applyBorder="1" applyAlignment="1" applyProtection="1">
      <alignment horizontal="right"/>
      <protection locked="0"/>
    </xf>
    <xf numFmtId="168" fontId="24" fillId="0" borderId="12" xfId="0" applyNumberFormat="1" applyFont="1" applyFill="1" applyBorder="1" applyAlignment="1" applyProtection="1">
      <alignment horizontal="center"/>
      <protection locked="0"/>
    </xf>
    <xf numFmtId="168" fontId="49" fillId="0" borderId="0" xfId="28" applyNumberFormat="1" applyFont="1" applyAlignment="1">
      <alignment horizontal="right"/>
    </xf>
    <xf numFmtId="168" fontId="24" fillId="0" borderId="31" xfId="0" applyNumberFormat="1" applyFont="1" applyFill="1" applyBorder="1" applyAlignment="1" applyProtection="1">
      <alignment horizontal="center"/>
      <protection locked="0"/>
    </xf>
    <xf numFmtId="0" fontId="24" fillId="0" borderId="12" xfId="0" applyFont="1" applyFill="1" applyBorder="1" applyAlignment="1" applyProtection="1">
      <alignment horizontal="left"/>
      <protection locked="0"/>
    </xf>
    <xf numFmtId="168" fontId="25" fillId="0" borderId="10" xfId="28" applyNumberFormat="1" applyFont="1" applyFill="1" applyBorder="1" applyAlignment="1" applyProtection="1">
      <alignment horizontal="center"/>
      <protection locked="0"/>
    </xf>
    <xf numFmtId="168" fontId="25" fillId="0" borderId="10" xfId="0" applyNumberFormat="1" applyFont="1" applyFill="1" applyBorder="1" applyAlignment="1" applyProtection="1">
      <alignment horizontal="right"/>
      <protection locked="0"/>
    </xf>
    <xf numFmtId="168" fontId="24" fillId="0" borderId="17" xfId="0" applyNumberFormat="1" applyFont="1" applyFill="1" applyBorder="1" applyAlignment="1" applyProtection="1">
      <alignment horizontal="center"/>
      <protection locked="0"/>
    </xf>
    <xf numFmtId="0" fontId="41" fillId="0" borderId="11" xfId="0" applyFont="1" applyFill="1" applyBorder="1" applyAlignment="1" applyProtection="1">
      <alignment horizontal="center" wrapText="1"/>
      <protection locked="0"/>
    </xf>
    <xf numFmtId="168" fontId="24" fillId="0" borderId="35" xfId="28" applyNumberFormat="1" applyFont="1" applyFill="1" applyBorder="1" applyAlignment="1" applyProtection="1">
      <alignment horizontal="center"/>
      <protection locked="0"/>
    </xf>
    <xf numFmtId="3" fontId="24" fillId="0" borderId="37" xfId="0" applyNumberFormat="1" applyFont="1" applyBorder="1" applyAlignment="1">
      <alignment horizontal="right"/>
    </xf>
    <xf numFmtId="168" fontId="41" fillId="0" borderId="11" xfId="28" applyNumberFormat="1" applyFont="1" applyFill="1" applyBorder="1" applyAlignment="1" applyProtection="1">
      <alignment horizontal="center"/>
      <protection locked="0"/>
    </xf>
    <xf numFmtId="0" fontId="24" fillId="0" borderId="37" xfId="0" applyFont="1" applyBorder="1" applyAlignment="1">
      <alignment horizontal="right"/>
    </xf>
    <xf numFmtId="0" fontId="42" fillId="0" borderId="0" xfId="0" applyFont="1" applyAlignment="1">
      <alignment horizontal="left"/>
    </xf>
    <xf numFmtId="0" fontId="24" fillId="0" borderId="14" xfId="40" applyFont="1" applyFill="1" applyBorder="1" applyAlignment="1" applyProtection="1">
      <protection locked="0"/>
    </xf>
    <xf numFmtId="3" fontId="24" fillId="0" borderId="11" xfId="0" applyNumberFormat="1" applyFont="1" applyFill="1" applyBorder="1" applyAlignment="1" applyProtection="1">
      <alignment horizontal="center" wrapText="1"/>
    </xf>
    <xf numFmtId="3" fontId="24" fillId="0" borderId="0" xfId="0" applyNumberFormat="1" applyFont="1"/>
    <xf numFmtId="3" fontId="25" fillId="0" borderId="0" xfId="0" applyNumberFormat="1" applyFont="1" applyFill="1" applyAlignment="1" applyProtection="1">
      <alignment horizontal="center"/>
      <protection locked="0"/>
    </xf>
    <xf numFmtId="3" fontId="24" fillId="0" borderId="12" xfId="0" applyNumberFormat="1" applyFont="1" applyFill="1" applyBorder="1" applyAlignment="1" applyProtection="1">
      <alignment horizontal="center"/>
    </xf>
    <xf numFmtId="0" fontId="48" fillId="0" borderId="0" xfId="40" applyFont="1" applyFill="1" applyAlignment="1" applyProtection="1">
      <alignment horizontal="left"/>
      <protection locked="0"/>
    </xf>
    <xf numFmtId="0" fontId="63" fillId="0" borderId="0" xfId="40" applyFont="1"/>
    <xf numFmtId="0" fontId="63" fillId="0" borderId="0" xfId="0" applyFont="1"/>
    <xf numFmtId="0" fontId="63" fillId="0" borderId="0" xfId="40" applyFont="1" applyFill="1" applyProtection="1">
      <protection locked="0"/>
    </xf>
    <xf numFmtId="0" fontId="63" fillId="0" borderId="10" xfId="40" applyFont="1" applyFill="1" applyBorder="1" applyProtection="1">
      <protection locked="0"/>
    </xf>
    <xf numFmtId="0" fontId="63" fillId="0" borderId="0" xfId="40" applyFont="1" applyFill="1" applyBorder="1" applyProtection="1">
      <protection locked="0"/>
    </xf>
    <xf numFmtId="0" fontId="48" fillId="0" borderId="0" xfId="40" applyFont="1" applyFill="1" applyBorder="1" applyProtection="1">
      <protection locked="0"/>
    </xf>
    <xf numFmtId="0" fontId="39" fillId="0" borderId="10" xfId="36" applyFont="1" applyFill="1" applyBorder="1" applyAlignment="1" applyProtection="1">
      <protection locked="0"/>
    </xf>
    <xf numFmtId="0" fontId="63" fillId="0" borderId="0" xfId="40" applyFont="1" applyFill="1" applyAlignment="1" applyProtection="1">
      <protection locked="0"/>
    </xf>
    <xf numFmtId="0" fontId="63" fillId="0" borderId="0" xfId="40" applyFont="1" applyFill="1" applyAlignment="1" applyProtection="1">
      <alignment wrapText="1"/>
      <protection locked="0"/>
    </xf>
    <xf numFmtId="0" fontId="48" fillId="0" borderId="0" xfId="40" applyFont="1" applyFill="1" applyAlignment="1" applyProtection="1">
      <alignment vertical="top"/>
      <protection locked="0"/>
    </xf>
    <xf numFmtId="0" fontId="63" fillId="0" borderId="0" xfId="40" applyFont="1" applyFill="1" applyBorder="1" applyAlignment="1" applyProtection="1">
      <alignment wrapText="1"/>
      <protection locked="0"/>
    </xf>
    <xf numFmtId="0" fontId="48" fillId="0" borderId="11" xfId="41" applyFont="1" applyFill="1" applyBorder="1" applyAlignment="1" applyProtection="1">
      <alignment horizontal="center"/>
      <protection locked="0"/>
    </xf>
    <xf numFmtId="0" fontId="48" fillId="0" borderId="11" xfId="40" applyFont="1" applyFill="1" applyBorder="1" applyAlignment="1" applyProtection="1">
      <alignment horizontal="center" wrapText="1"/>
      <protection locked="0"/>
    </xf>
    <xf numFmtId="0" fontId="48" fillId="0" borderId="11" xfId="40" applyFont="1" applyFill="1" applyBorder="1" applyProtection="1">
      <protection locked="0"/>
    </xf>
    <xf numFmtId="0" fontId="48" fillId="0" borderId="11" xfId="41" applyFont="1" applyFill="1" applyBorder="1" applyProtection="1">
      <protection locked="0"/>
    </xf>
    <xf numFmtId="0" fontId="63" fillId="0" borderId="11" xfId="41" applyFont="1" applyFill="1" applyBorder="1" applyAlignment="1" applyProtection="1">
      <alignment horizontal="center"/>
      <protection locked="0"/>
    </xf>
    <xf numFmtId="0" fontId="63" fillId="0" borderId="11" xfId="40" applyFont="1" applyFill="1" applyBorder="1" applyAlignment="1" applyProtection="1">
      <alignment horizontal="center" wrapText="1"/>
      <protection locked="0"/>
    </xf>
    <xf numFmtId="0" fontId="63" fillId="0" borderId="11" xfId="40" applyFont="1" applyFill="1" applyBorder="1" applyProtection="1">
      <protection locked="0"/>
    </xf>
    <xf numFmtId="0" fontId="64" fillId="0" borderId="11" xfId="41" applyFont="1" applyFill="1" applyBorder="1" applyAlignment="1" applyProtection="1">
      <alignment horizontal="center"/>
      <protection locked="0"/>
    </xf>
    <xf numFmtId="0" fontId="63" fillId="0" borderId="11" xfId="41" applyFont="1" applyFill="1" applyBorder="1" applyAlignment="1" applyProtection="1">
      <alignment horizontal="left" wrapText="1" indent="1"/>
      <protection locked="0"/>
    </xf>
    <xf numFmtId="0" fontId="63" fillId="0" borderId="11" xfId="40" applyFont="1" applyFill="1" applyBorder="1" applyAlignment="1" applyProtection="1">
      <alignment wrapText="1"/>
      <protection locked="0"/>
    </xf>
    <xf numFmtId="0" fontId="63" fillId="0" borderId="11" xfId="40" applyFont="1" applyFill="1" applyBorder="1" applyAlignment="1" applyProtection="1">
      <alignment horizontal="left" wrapText="1" indent="1"/>
      <protection locked="0"/>
    </xf>
    <xf numFmtId="1" fontId="63" fillId="0" borderId="11" xfId="41" applyNumberFormat="1" applyFont="1" applyFill="1" applyBorder="1" applyAlignment="1" applyProtection="1">
      <alignment horizontal="center"/>
      <protection locked="0"/>
    </xf>
    <xf numFmtId="2" fontId="63" fillId="0" borderId="11" xfId="41" applyNumberFormat="1" applyFont="1" applyFill="1" applyBorder="1" applyAlignment="1" applyProtection="1">
      <alignment horizontal="center"/>
    </xf>
    <xf numFmtId="0" fontId="63" fillId="0" borderId="11" xfId="41" applyFont="1" applyFill="1" applyBorder="1" applyAlignment="1" applyProtection="1">
      <alignment horizontal="left" indent="1"/>
      <protection locked="0"/>
    </xf>
    <xf numFmtId="2" fontId="63" fillId="0" borderId="11" xfId="41" applyNumberFormat="1" applyFont="1" applyFill="1" applyBorder="1" applyAlignment="1" applyProtection="1">
      <alignment horizontal="center"/>
      <protection locked="0"/>
    </xf>
    <xf numFmtId="0" fontId="63" fillId="0" borderId="15" xfId="40" applyFont="1" applyBorder="1" applyAlignment="1" applyProtection="1">
      <alignment horizontal="center" wrapText="1"/>
      <protection locked="0"/>
    </xf>
    <xf numFmtId="0" fontId="63" fillId="0" borderId="12" xfId="40" applyFont="1" applyFill="1" applyBorder="1" applyAlignment="1" applyProtection="1">
      <alignment horizontal="center" wrapText="1"/>
      <protection locked="0"/>
    </xf>
    <xf numFmtId="0" fontId="48" fillId="0" borderId="11" xfId="41" applyFont="1" applyFill="1" applyBorder="1" applyAlignment="1" applyProtection="1">
      <protection locked="0"/>
    </xf>
    <xf numFmtId="0" fontId="48" fillId="0" borderId="11" xfId="41" applyFont="1" applyFill="1" applyBorder="1" applyAlignment="1" applyProtection="1">
      <alignment wrapText="1"/>
      <protection locked="0"/>
    </xf>
    <xf numFmtId="0" fontId="66" fillId="0" borderId="11" xfId="41" applyFont="1" applyFill="1" applyBorder="1" applyAlignment="1" applyProtection="1">
      <alignment horizontal="center"/>
      <protection locked="0"/>
    </xf>
    <xf numFmtId="0" fontId="48" fillId="0" borderId="11" xfId="40" applyFont="1" applyFill="1" applyBorder="1" applyAlignment="1" applyProtection="1">
      <protection locked="0"/>
    </xf>
    <xf numFmtId="164" fontId="63" fillId="0" borderId="11" xfId="29" applyNumberFormat="1" applyFont="1" applyFill="1" applyBorder="1" applyAlignment="1" applyProtection="1"/>
    <xf numFmtId="164" fontId="63" fillId="0" borderId="11" xfId="41" applyNumberFormat="1" applyFont="1" applyFill="1" applyBorder="1" applyAlignment="1" applyProtection="1">
      <alignment horizontal="center"/>
      <protection locked="0"/>
    </xf>
    <xf numFmtId="164" fontId="63" fillId="0" borderId="11" xfId="41" applyNumberFormat="1" applyFont="1" applyFill="1" applyBorder="1" applyAlignment="1" applyProtection="1">
      <alignment horizontal="right"/>
      <protection locked="0"/>
    </xf>
    <xf numFmtId="0" fontId="67" fillId="0" borderId="11" xfId="41" applyFont="1" applyFill="1" applyBorder="1" applyAlignment="1" applyProtection="1">
      <alignment horizontal="center" vertical="center"/>
      <protection locked="0"/>
    </xf>
    <xf numFmtId="0" fontId="63" fillId="0" borderId="11" xfId="41" applyFont="1" applyFill="1" applyBorder="1" applyAlignment="1" applyProtection="1">
      <alignment horizontal="left" vertical="center" indent="1"/>
      <protection locked="0"/>
    </xf>
    <xf numFmtId="0" fontId="68" fillId="0" borderId="11" xfId="41" applyFont="1" applyFill="1" applyBorder="1" applyAlignment="1" applyProtection="1">
      <alignment horizontal="center"/>
      <protection locked="0"/>
    </xf>
    <xf numFmtId="0" fontId="48" fillId="0" borderId="11" xfId="41" applyFont="1" applyFill="1" applyBorder="1" applyAlignment="1" applyProtection="1">
      <alignment horizontal="left" wrapText="1"/>
      <protection locked="0"/>
    </xf>
    <xf numFmtId="164" fontId="63" fillId="0" borderId="11" xfId="41" applyNumberFormat="1" applyFont="1" applyFill="1" applyBorder="1" applyAlignment="1" applyProtection="1">
      <protection locked="0"/>
    </xf>
    <xf numFmtId="0" fontId="63" fillId="0" borderId="15" xfId="40" applyFont="1" applyFill="1" applyBorder="1" applyAlignment="1" applyProtection="1">
      <alignment horizontal="center" wrapText="1"/>
      <protection locked="0"/>
    </xf>
    <xf numFmtId="0" fontId="68" fillId="0" borderId="11" xfId="40" applyFont="1" applyFill="1" applyBorder="1" applyAlignment="1" applyProtection="1">
      <alignment horizontal="center"/>
      <protection locked="0"/>
    </xf>
    <xf numFmtId="164" fontId="63" fillId="0" borderId="11" xfId="40" applyNumberFormat="1" applyFont="1" applyFill="1" applyBorder="1" applyAlignment="1" applyProtection="1">
      <alignment horizontal="center"/>
      <protection locked="0"/>
    </xf>
    <xf numFmtId="0" fontId="68" fillId="0" borderId="11" xfId="40" applyFont="1" applyFill="1" applyBorder="1" applyAlignment="1" applyProtection="1">
      <alignment horizontal="center" vertical="center"/>
      <protection locked="0"/>
    </xf>
    <xf numFmtId="0" fontId="48" fillId="0" borderId="11" xfId="40" applyFont="1" applyFill="1" applyBorder="1" applyAlignment="1" applyProtection="1">
      <alignment vertical="center" wrapText="1"/>
      <protection locked="0"/>
    </xf>
    <xf numFmtId="164" fontId="63" fillId="0" borderId="11" xfId="29" applyNumberFormat="1" applyFont="1" applyFill="1" applyBorder="1" applyAlignment="1" applyProtection="1">
      <alignment horizontal="right"/>
    </xf>
    <xf numFmtId="0" fontId="67" fillId="0" borderId="11" xfId="40" applyFont="1" applyFill="1" applyBorder="1" applyAlignment="1" applyProtection="1">
      <alignment horizontal="center" vertical="center"/>
      <protection locked="0"/>
    </xf>
    <xf numFmtId="0" fontId="67" fillId="0" borderId="11" xfId="40" applyFont="1" applyFill="1" applyBorder="1" applyAlignment="1" applyProtection="1">
      <alignment horizontal="left" vertical="center" wrapText="1" indent="1"/>
      <protection locked="0"/>
    </xf>
    <xf numFmtId="164" fontId="63" fillId="0" borderId="11" xfId="41" applyNumberFormat="1" applyFont="1" applyFill="1" applyBorder="1" applyAlignment="1" applyProtection="1">
      <alignment horizontal="right"/>
    </xf>
    <xf numFmtId="0" fontId="64" fillId="0" borderId="11" xfId="40" applyFont="1" applyFill="1" applyBorder="1" applyAlignment="1" applyProtection="1">
      <alignment horizontal="center" vertical="center"/>
      <protection locked="0"/>
    </xf>
    <xf numFmtId="0" fontId="67" fillId="0" borderId="11" xfId="40" applyFont="1" applyFill="1" applyBorder="1" applyAlignment="1" applyProtection="1">
      <alignment horizontal="left" vertical="center" indent="1"/>
      <protection locked="0"/>
    </xf>
    <xf numFmtId="0" fontId="48" fillId="0" borderId="11" xfId="40" applyFont="1" applyFill="1" applyBorder="1" applyAlignment="1" applyProtection="1">
      <alignment vertical="center"/>
      <protection locked="0"/>
    </xf>
    <xf numFmtId="0" fontId="64" fillId="0" borderId="11" xfId="40" applyFont="1" applyFill="1" applyBorder="1" applyAlignment="1" applyProtection="1">
      <alignment horizontal="center"/>
      <protection locked="0"/>
    </xf>
    <xf numFmtId="0" fontId="68" fillId="0" borderId="11" xfId="40" applyFont="1" applyFill="1" applyBorder="1" applyProtection="1">
      <protection locked="0"/>
    </xf>
    <xf numFmtId="0" fontId="67" fillId="0" borderId="11" xfId="40" applyFont="1" applyFill="1" applyBorder="1" applyProtection="1">
      <protection locked="0"/>
    </xf>
    <xf numFmtId="0" fontId="67" fillId="0" borderId="11" xfId="40" applyFont="1" applyFill="1" applyBorder="1" applyAlignment="1" applyProtection="1">
      <alignment horizontal="left" indent="1"/>
      <protection locked="0"/>
    </xf>
    <xf numFmtId="0" fontId="63" fillId="0" borderId="11" xfId="40" applyFont="1" applyFill="1" applyBorder="1" applyAlignment="1" applyProtection="1">
      <alignment horizontal="center"/>
      <protection locked="0"/>
    </xf>
    <xf numFmtId="0" fontId="48" fillId="0" borderId="11" xfId="40" applyFont="1" applyFill="1" applyBorder="1" applyAlignment="1" applyProtection="1">
      <alignment horizontal="center"/>
      <protection locked="0"/>
    </xf>
    <xf numFmtId="164" fontId="63" fillId="0" borderId="12" xfId="41" applyNumberFormat="1" applyFont="1" applyFill="1" applyBorder="1" applyAlignment="1" applyProtection="1">
      <alignment horizontal="center"/>
      <protection locked="0"/>
    </xf>
    <xf numFmtId="0" fontId="68" fillId="0" borderId="11" xfId="40" applyFont="1" applyFill="1" applyBorder="1" applyAlignment="1" applyProtection="1">
      <alignment horizontal="left" indent="1"/>
      <protection locked="0"/>
    </xf>
    <xf numFmtId="0" fontId="48" fillId="0" borderId="11" xfId="40" applyFont="1" applyFill="1" applyBorder="1" applyAlignment="1" applyProtection="1">
      <alignment wrapText="1"/>
      <protection locked="0"/>
    </xf>
    <xf numFmtId="0" fontId="63" fillId="0" borderId="11" xfId="40" applyFont="1" applyFill="1" applyBorder="1" applyAlignment="1" applyProtection="1">
      <alignment horizontal="left" indent="1"/>
      <protection locked="0"/>
    </xf>
    <xf numFmtId="164" fontId="63" fillId="0" borderId="11" xfId="40" applyNumberFormat="1" applyFont="1" applyFill="1" applyBorder="1" applyAlignment="1" applyProtection="1">
      <alignment horizontal="center" wrapText="1"/>
      <protection locked="0"/>
    </xf>
    <xf numFmtId="0" fontId="63" fillId="0" borderId="14" xfId="40" applyFont="1" applyFill="1" applyBorder="1" applyAlignment="1" applyProtection="1">
      <alignment horizontal="center" wrapText="1"/>
      <protection locked="0"/>
    </xf>
    <xf numFmtId="0" fontId="63" fillId="0" borderId="14" xfId="40" applyFont="1" applyFill="1" applyBorder="1" applyAlignment="1" applyProtection="1">
      <alignment wrapText="1"/>
      <protection locked="0"/>
    </xf>
    <xf numFmtId="164" fontId="63" fillId="0" borderId="11" xfId="40" applyNumberFormat="1" applyFont="1" applyFill="1" applyBorder="1" applyAlignment="1" applyProtection="1">
      <alignment horizontal="center"/>
    </xf>
    <xf numFmtId="0" fontId="63" fillId="0" borderId="0" xfId="0" applyFont="1" applyFill="1" applyBorder="1" applyAlignment="1" applyProtection="1">
      <alignment wrapText="1"/>
      <protection locked="0"/>
    </xf>
    <xf numFmtId="0" fontId="48" fillId="0" borderId="11" xfId="0" applyFont="1" applyFill="1" applyBorder="1" applyAlignment="1" applyProtection="1">
      <alignment horizontal="center"/>
      <protection locked="0"/>
    </xf>
    <xf numFmtId="3" fontId="48" fillId="0" borderId="11" xfId="0" applyNumberFormat="1" applyFont="1" applyFill="1" applyBorder="1" applyAlignment="1" applyProtection="1">
      <alignment horizontal="center"/>
      <protection locked="0"/>
    </xf>
    <xf numFmtId="0" fontId="48" fillId="0" borderId="11" xfId="0" applyFont="1" applyFill="1" applyBorder="1" applyProtection="1">
      <protection locked="0"/>
    </xf>
    <xf numFmtId="0" fontId="48" fillId="0" borderId="0" xfId="0" applyFont="1" applyFill="1" applyBorder="1" applyProtection="1">
      <protection locked="0"/>
    </xf>
    <xf numFmtId="0" fontId="63" fillId="0" borderId="14" xfId="0" applyFont="1" applyFill="1" applyBorder="1" applyAlignment="1" applyProtection="1">
      <alignment horizontal="center" wrapText="1"/>
      <protection locked="0"/>
    </xf>
    <xf numFmtId="0" fontId="63" fillId="0" borderId="16" xfId="0" applyFont="1" applyFill="1" applyBorder="1" applyAlignment="1" applyProtection="1">
      <alignment horizontal="center" wrapText="1"/>
      <protection locked="0"/>
    </xf>
    <xf numFmtId="3" fontId="63" fillId="0" borderId="11" xfId="0" applyNumberFormat="1" applyFont="1" applyFill="1" applyBorder="1" applyAlignment="1" applyProtection="1">
      <alignment horizontal="center"/>
    </xf>
    <xf numFmtId="3" fontId="63" fillId="0" borderId="11" xfId="0" applyNumberFormat="1" applyFont="1" applyFill="1" applyBorder="1" applyAlignment="1" applyProtection="1">
      <alignment horizontal="center"/>
      <protection locked="0"/>
    </xf>
    <xf numFmtId="0" fontId="63" fillId="0" borderId="11" xfId="0" applyFont="1" applyFill="1" applyBorder="1" applyAlignment="1" applyProtection="1">
      <alignment wrapText="1"/>
      <protection locked="0"/>
    </xf>
    <xf numFmtId="0" fontId="63" fillId="0" borderId="11" xfId="0" applyFont="1" applyFill="1" applyBorder="1" applyAlignment="1" applyProtection="1">
      <alignment horizontal="center"/>
      <protection locked="0"/>
    </xf>
    <xf numFmtId="0" fontId="63" fillId="0" borderId="11" xfId="0" applyFont="1" applyFill="1" applyBorder="1" applyAlignment="1" applyProtection="1">
      <alignment horizontal="left" indent="1"/>
      <protection locked="0"/>
    </xf>
    <xf numFmtId="0" fontId="63" fillId="0" borderId="11" xfId="0" applyFont="1" applyFill="1" applyBorder="1" applyAlignment="1" applyProtection="1">
      <alignment horizontal="left" indent="2"/>
      <protection locked="0"/>
    </xf>
    <xf numFmtId="0" fontId="64" fillId="0" borderId="11" xfId="0" applyFont="1" applyFill="1" applyBorder="1" applyAlignment="1" applyProtection="1">
      <alignment horizontal="center"/>
      <protection locked="0"/>
    </xf>
    <xf numFmtId="0" fontId="63" fillId="0" borderId="11" xfId="0" applyFont="1" applyFill="1" applyBorder="1" applyAlignment="1" applyProtection="1">
      <alignment horizontal="center"/>
    </xf>
    <xf numFmtId="0" fontId="48" fillId="0" borderId="11" xfId="0" applyFont="1" applyFill="1" applyBorder="1" applyAlignment="1" applyProtection="1">
      <protection locked="0"/>
    </xf>
    <xf numFmtId="0" fontId="48" fillId="0" borderId="11" xfId="0" applyFont="1" applyFill="1" applyBorder="1" applyAlignment="1" applyProtection="1">
      <alignment horizontal="center" vertical="center"/>
      <protection locked="0"/>
    </xf>
    <xf numFmtId="0" fontId="48" fillId="0" borderId="11" xfId="0" applyFont="1" applyFill="1" applyBorder="1" applyAlignment="1" applyProtection="1">
      <alignment wrapText="1"/>
      <protection locked="0"/>
    </xf>
    <xf numFmtId="0" fontId="48" fillId="0" borderId="11" xfId="0" applyFont="1" applyFill="1" applyBorder="1" applyAlignment="1" applyProtection="1">
      <alignment horizontal="left" wrapText="1" indent="1"/>
      <protection locked="0"/>
    </xf>
    <xf numFmtId="0" fontId="63" fillId="0" borderId="11" xfId="0" applyFont="1" applyFill="1" applyBorder="1" applyProtection="1">
      <protection locked="0"/>
    </xf>
    <xf numFmtId="0" fontId="67" fillId="0" borderId="11" xfId="0" applyFont="1" applyFill="1" applyBorder="1" applyAlignment="1" applyProtection="1">
      <alignment horizontal="left" vertical="center" indent="1"/>
      <protection locked="0"/>
    </xf>
    <xf numFmtId="0" fontId="63" fillId="0" borderId="0" xfId="0" applyFont="1" applyFill="1" applyBorder="1" applyProtection="1">
      <protection locked="0"/>
    </xf>
    <xf numFmtId="0" fontId="68" fillId="0" borderId="11" xfId="0" applyFont="1" applyFill="1" applyBorder="1" applyAlignment="1" applyProtection="1">
      <alignment horizontal="left" indent="1"/>
      <protection locked="0"/>
    </xf>
    <xf numFmtId="0" fontId="48" fillId="0" borderId="11" xfId="0" applyFont="1" applyFill="1" applyBorder="1" applyAlignment="1" applyProtection="1">
      <alignment horizontal="left" indent="1"/>
      <protection locked="0"/>
    </xf>
    <xf numFmtId="0" fontId="66" fillId="0" borderId="11" xfId="0" applyFont="1" applyFill="1" applyBorder="1" applyAlignment="1" applyProtection="1">
      <alignment horizontal="center"/>
      <protection locked="0"/>
    </xf>
    <xf numFmtId="0" fontId="63" fillId="0" borderId="0" xfId="0" applyFont="1" applyFill="1" applyBorder="1" applyAlignment="1" applyProtection="1">
      <alignment horizontal="center" wrapText="1"/>
      <protection locked="0"/>
    </xf>
    <xf numFmtId="0" fontId="63" fillId="0" borderId="11" xfId="0" applyNumberFormat="1" applyFont="1" applyFill="1" applyBorder="1" applyAlignment="1" applyProtection="1">
      <alignment horizontal="center" wrapText="1"/>
    </xf>
    <xf numFmtId="0" fontId="63" fillId="0" borderId="11" xfId="0" applyFont="1" applyFill="1" applyBorder="1" applyAlignment="1" applyProtection="1">
      <alignment horizontal="center" wrapText="1"/>
      <protection locked="0"/>
    </xf>
    <xf numFmtId="0" fontId="68" fillId="0" borderId="11" xfId="0" applyFont="1" applyFill="1" applyBorder="1" applyProtection="1">
      <protection locked="0"/>
    </xf>
    <xf numFmtId="0" fontId="67" fillId="0" borderId="11" xfId="0" applyFont="1" applyFill="1" applyBorder="1" applyAlignment="1" applyProtection="1">
      <alignment horizontal="left" indent="1"/>
      <protection locked="0"/>
    </xf>
    <xf numFmtId="0" fontId="63" fillId="0" borderId="0" xfId="0" applyFont="1" applyAlignment="1">
      <alignment horizontal="left" wrapText="1"/>
    </xf>
    <xf numFmtId="0" fontId="63" fillId="0" borderId="11" xfId="0" applyFont="1" applyFill="1" applyBorder="1" applyAlignment="1" applyProtection="1">
      <alignment horizontal="left" wrapText="1"/>
      <protection locked="0"/>
    </xf>
    <xf numFmtId="0" fontId="67" fillId="0" borderId="11" xfId="0" applyFont="1" applyFill="1" applyBorder="1" applyProtection="1">
      <protection locked="0"/>
    </xf>
    <xf numFmtId="0" fontId="68" fillId="0" borderId="11" xfId="0" applyFont="1" applyFill="1" applyBorder="1" applyAlignment="1" applyProtection="1">
      <alignment horizontal="center"/>
      <protection locked="0"/>
    </xf>
    <xf numFmtId="0" fontId="67" fillId="0" borderId="11" xfId="0" applyFont="1" applyFill="1" applyBorder="1" applyAlignment="1" applyProtection="1">
      <alignment horizontal="center"/>
      <protection locked="0"/>
    </xf>
    <xf numFmtId="0" fontId="68" fillId="0" borderId="12" xfId="0" applyFont="1" applyFill="1" applyBorder="1" applyAlignment="1" applyProtection="1">
      <alignment horizontal="left" vertical="top"/>
      <protection locked="0"/>
    </xf>
    <xf numFmtId="0" fontId="63" fillId="0" borderId="17" xfId="0" applyFont="1" applyBorder="1" applyAlignment="1"/>
    <xf numFmtId="0" fontId="63" fillId="0" borderId="15" xfId="0" applyFont="1" applyBorder="1" applyAlignment="1"/>
    <xf numFmtId="0" fontId="67" fillId="0" borderId="16" xfId="0" applyFont="1" applyFill="1" applyBorder="1" applyProtection="1">
      <protection locked="0"/>
    </xf>
    <xf numFmtId="0" fontId="63" fillId="0" borderId="18" xfId="0" applyFont="1" applyFill="1" applyBorder="1" applyAlignment="1" applyProtection="1">
      <alignment horizontal="center"/>
      <protection locked="0"/>
    </xf>
    <xf numFmtId="0" fontId="63" fillId="0" borderId="0" xfId="0" applyFont="1" applyFill="1" applyBorder="1" applyAlignment="1" applyProtection="1">
      <alignment horizontal="center"/>
      <protection locked="0"/>
    </xf>
    <xf numFmtId="0" fontId="63" fillId="0" borderId="0" xfId="0" applyFont="1" applyBorder="1"/>
    <xf numFmtId="0" fontId="63" fillId="0" borderId="19" xfId="0" applyFont="1" applyFill="1" applyBorder="1" applyAlignment="1" applyProtection="1">
      <alignment horizontal="left"/>
      <protection locked="0"/>
    </xf>
    <xf numFmtId="0" fontId="63" fillId="0" borderId="20" xfId="0" applyFont="1" applyFill="1" applyBorder="1" applyAlignment="1" applyProtection="1">
      <alignment horizontal="center"/>
      <protection locked="0"/>
    </xf>
    <xf numFmtId="0" fontId="63" fillId="0" borderId="12" xfId="0" applyFont="1" applyFill="1" applyBorder="1" applyAlignment="1" applyProtection="1">
      <alignment horizontal="center"/>
    </xf>
    <xf numFmtId="0" fontId="63" fillId="0" borderId="0" xfId="0" applyFont="1" applyBorder="1" applyAlignment="1"/>
    <xf numFmtId="0" fontId="63" fillId="0" borderId="19" xfId="0" applyFont="1" applyBorder="1" applyAlignment="1">
      <alignment horizontal="left"/>
    </xf>
    <xf numFmtId="0" fontId="63" fillId="0" borderId="12" xfId="0" applyFont="1" applyFill="1" applyBorder="1" applyAlignment="1" applyProtection="1">
      <alignment horizontal="center"/>
      <protection locked="0"/>
    </xf>
    <xf numFmtId="0" fontId="68" fillId="0" borderId="11" xfId="0" applyFont="1" applyFill="1" applyBorder="1" applyAlignment="1" applyProtection="1">
      <alignment horizontal="left" vertical="top" wrapText="1"/>
      <protection locked="0"/>
    </xf>
    <xf numFmtId="0" fontId="63" fillId="0" borderId="15" xfId="0" applyFont="1" applyFill="1" applyBorder="1" applyAlignment="1" applyProtection="1">
      <alignment horizontal="center"/>
      <protection locked="0"/>
    </xf>
    <xf numFmtId="0" fontId="63" fillId="0" borderId="21" xfId="0" applyFont="1" applyFill="1" applyBorder="1" applyAlignment="1" applyProtection="1">
      <alignment horizontal="left"/>
      <protection locked="0"/>
    </xf>
    <xf numFmtId="0" fontId="63" fillId="0" borderId="11" xfId="0" applyFont="1" applyFill="1" applyBorder="1" applyAlignment="1" applyProtection="1">
      <alignment horizontal="left"/>
      <protection locked="0"/>
    </xf>
    <xf numFmtId="0" fontId="63" fillId="0" borderId="22" xfId="0" applyFont="1" applyBorder="1"/>
    <xf numFmtId="0" fontId="63" fillId="0" borderId="23" xfId="0" applyFont="1" applyBorder="1"/>
    <xf numFmtId="0" fontId="63" fillId="0" borderId="0" xfId="0" applyFont="1" applyFill="1" applyBorder="1" applyAlignment="1" applyProtection="1">
      <alignment horizontal="center"/>
    </xf>
    <xf numFmtId="0" fontId="64" fillId="0" borderId="0" xfId="0" applyFont="1" applyFill="1" applyBorder="1" applyAlignment="1" applyProtection="1">
      <alignment horizontal="center"/>
      <protection locked="0"/>
    </xf>
    <xf numFmtId="0" fontId="63" fillId="0" borderId="13" xfId="0" applyFont="1" applyFill="1" applyBorder="1" applyAlignment="1" applyProtection="1">
      <alignment horizontal="left" indent="1"/>
      <protection locked="0"/>
    </xf>
    <xf numFmtId="0" fontId="63" fillId="0" borderId="22" xfId="0" applyFont="1" applyFill="1" applyBorder="1" applyAlignment="1" applyProtection="1">
      <alignment horizontal="center"/>
      <protection locked="0"/>
    </xf>
    <xf numFmtId="0" fontId="63" fillId="0" borderId="23" xfId="0" applyFont="1" applyFill="1" applyBorder="1" applyAlignment="1" applyProtection="1">
      <alignment horizontal="center"/>
      <protection locked="0"/>
    </xf>
    <xf numFmtId="0" fontId="63" fillId="0" borderId="11" xfId="0" applyFont="1" applyFill="1" applyBorder="1" applyAlignment="1" applyProtection="1">
      <alignment horizontal="left" vertical="top"/>
      <protection locked="0"/>
    </xf>
    <xf numFmtId="0" fontId="66" fillId="0" borderId="0" xfId="0" applyFont="1" applyFill="1" applyAlignment="1" applyProtection="1">
      <alignment horizontal="center"/>
      <protection locked="0"/>
    </xf>
    <xf numFmtId="0" fontId="48" fillId="0" borderId="13" xfId="0" applyFont="1" applyFill="1" applyBorder="1" applyAlignment="1" applyProtection="1">
      <alignment horizontal="left"/>
      <protection locked="0"/>
    </xf>
    <xf numFmtId="0" fontId="0" fillId="0" borderId="0" xfId="0" applyAlignment="1"/>
    <xf numFmtId="0" fontId="48" fillId="0" borderId="0" xfId="0" applyFont="1" applyFill="1" applyAlignment="1" applyProtection="1">
      <alignment horizontal="center"/>
      <protection locked="0"/>
    </xf>
    <xf numFmtId="0" fontId="48" fillId="0" borderId="0" xfId="0" applyFont="1" applyFill="1" applyBorder="1" applyAlignment="1" applyProtection="1">
      <alignment horizontal="left"/>
      <protection locked="0"/>
    </xf>
    <xf numFmtId="0" fontId="63" fillId="0" borderId="0" xfId="0" applyFont="1" applyFill="1" applyAlignment="1" applyProtection="1">
      <alignment horizontal="center"/>
      <protection locked="0"/>
    </xf>
    <xf numFmtId="0" fontId="63" fillId="0" borderId="0" xfId="0" applyFont="1" applyFill="1" applyProtection="1">
      <protection locked="0"/>
    </xf>
    <xf numFmtId="0" fontId="63" fillId="0" borderId="0" xfId="0" applyFont="1" applyFill="1" applyAlignment="1" applyProtection="1">
      <alignment wrapText="1"/>
      <protection locked="0"/>
    </xf>
    <xf numFmtId="0" fontId="63" fillId="0" borderId="11" xfId="0" applyFont="1" applyFill="1" applyBorder="1" applyAlignment="1" applyProtection="1">
      <alignment horizontal="left" wrapText="1" indent="2"/>
      <protection locked="0"/>
    </xf>
    <xf numFmtId="0" fontId="48" fillId="0" borderId="22" xfId="0" applyFont="1" applyFill="1" applyBorder="1" applyAlignment="1" applyProtection="1">
      <alignment horizontal="left" indent="2"/>
      <protection locked="0"/>
    </xf>
    <xf numFmtId="0" fontId="48" fillId="0" borderId="0" xfId="0" applyFont="1" applyFill="1" applyBorder="1" applyAlignment="1" applyProtection="1">
      <alignment horizontal="left" indent="2"/>
      <protection locked="0"/>
    </xf>
    <xf numFmtId="0" fontId="63" fillId="0" borderId="11" xfId="0" applyFont="1" applyFill="1" applyBorder="1" applyAlignment="1" applyProtection="1">
      <alignment horizontal="left" wrapText="1" indent="1"/>
      <protection locked="0"/>
    </xf>
    <xf numFmtId="0" fontId="63" fillId="0" borderId="14" xfId="0" applyFont="1" applyBorder="1"/>
    <xf numFmtId="0" fontId="63" fillId="0" borderId="0" xfId="0" applyFont="1" applyAlignment="1">
      <alignment wrapText="1"/>
    </xf>
    <xf numFmtId="0" fontId="48" fillId="0" borderId="13" xfId="0" applyFont="1" applyFill="1" applyBorder="1" applyAlignment="1" applyProtection="1">
      <alignment horizontal="center"/>
      <protection locked="0"/>
    </xf>
    <xf numFmtId="0" fontId="48" fillId="0" borderId="0" xfId="0" applyFont="1" applyFill="1" applyAlignment="1" applyProtection="1">
      <alignment horizontal="left"/>
      <protection locked="0"/>
    </xf>
    <xf numFmtId="0" fontId="48" fillId="0" borderId="16" xfId="0" applyFont="1" applyFill="1" applyBorder="1" applyAlignment="1" applyProtection="1">
      <alignment horizontal="center"/>
      <protection locked="0"/>
    </xf>
    <xf numFmtId="0" fontId="64" fillId="0" borderId="12" xfId="0" applyFont="1" applyFill="1" applyBorder="1" applyAlignment="1" applyProtection="1">
      <alignment horizontal="center"/>
      <protection locked="0"/>
    </xf>
    <xf numFmtId="0" fontId="63" fillId="0" borderId="17" xfId="0" applyFont="1" applyFill="1" applyBorder="1" applyAlignment="1" applyProtection="1">
      <alignment horizontal="left" wrapText="1" indent="2"/>
      <protection locked="0"/>
    </xf>
    <xf numFmtId="0" fontId="48" fillId="0" borderId="11" xfId="0" applyFont="1" applyFill="1" applyBorder="1" applyAlignment="1" applyProtection="1">
      <alignment horizontal="center" wrapText="1"/>
      <protection locked="0"/>
    </xf>
    <xf numFmtId="0" fontId="48" fillId="0" borderId="22" xfId="0" applyFont="1" applyFill="1" applyBorder="1" applyAlignment="1" applyProtection="1">
      <alignment horizontal="center" wrapText="1"/>
      <protection locked="0"/>
    </xf>
    <xf numFmtId="0" fontId="48" fillId="0" borderId="10" xfId="40" applyFont="1" applyFill="1" applyBorder="1" applyProtection="1">
      <protection locked="0"/>
    </xf>
    <xf numFmtId="0" fontId="0" fillId="0" borderId="11" xfId="0" applyFill="1" applyBorder="1"/>
    <xf numFmtId="169" fontId="24" fillId="0" borderId="11" xfId="61" applyNumberFormat="1" applyFont="1" applyFill="1" applyBorder="1" applyAlignment="1" applyProtection="1">
      <alignment horizontal="center" wrapText="1"/>
      <protection locked="0"/>
    </xf>
    <xf numFmtId="166" fontId="24" fillId="0" borderId="11" xfId="62" applyNumberFormat="1" applyFont="1" applyFill="1" applyBorder="1" applyAlignment="1" applyProtection="1">
      <alignment horizontal="right"/>
    </xf>
    <xf numFmtId="166" fontId="24" fillId="0" borderId="11" xfId="62" applyNumberFormat="1" applyFont="1" applyFill="1" applyBorder="1" applyAlignment="1" applyProtection="1">
      <alignment horizontal="right"/>
      <protection locked="0"/>
    </xf>
    <xf numFmtId="0" fontId="0" fillId="0" borderId="11" xfId="0" applyBorder="1"/>
    <xf numFmtId="166" fontId="24" fillId="0" borderId="11" xfId="61" applyNumberFormat="1" applyFont="1" applyFill="1" applyBorder="1" applyAlignment="1" applyProtection="1">
      <alignment horizontal="center" wrapText="1"/>
      <protection locked="0"/>
    </xf>
    <xf numFmtId="166" fontId="24" fillId="0" borderId="11" xfId="62" applyNumberFormat="1" applyFont="1" applyFill="1" applyBorder="1" applyAlignment="1" applyProtection="1">
      <alignment horizontal="center"/>
      <protection locked="0"/>
    </xf>
    <xf numFmtId="166" fontId="24" fillId="0" borderId="12" xfId="62" applyNumberFormat="1" applyFont="1" applyFill="1" applyBorder="1" applyAlignment="1" applyProtection="1">
      <alignment horizontal="center"/>
      <protection locked="0"/>
    </xf>
    <xf numFmtId="166" fontId="24" fillId="0" borderId="11" xfId="62" applyNumberFormat="1" applyFont="1" applyFill="1" applyBorder="1" applyAlignment="1" applyProtection="1">
      <alignment horizontal="center"/>
    </xf>
    <xf numFmtId="2" fontId="24" fillId="0" borderId="13" xfId="62" applyNumberFormat="1" applyFont="1" applyFill="1" applyBorder="1" applyAlignment="1" applyProtection="1">
      <alignment horizontal="center"/>
      <protection locked="0"/>
    </xf>
    <xf numFmtId="0" fontId="24" fillId="0" borderId="12" xfId="0" applyFont="1" applyFill="1" applyBorder="1" applyAlignment="1" applyProtection="1">
      <alignment horizontal="left" wrapText="1" indent="1"/>
      <protection locked="0"/>
    </xf>
    <xf numFmtId="0" fontId="24" fillId="0" borderId="20" xfId="0" applyFont="1" applyFill="1" applyBorder="1" applyAlignment="1" applyProtection="1">
      <alignment horizontal="center"/>
    </xf>
    <xf numFmtId="0" fontId="24" fillId="0" borderId="14" xfId="0" applyFont="1" applyFill="1" applyBorder="1" applyAlignment="1" applyProtection="1">
      <alignment horizontal="center"/>
    </xf>
    <xf numFmtId="0" fontId="25" fillId="0" borderId="22" xfId="0" applyFont="1" applyFill="1" applyBorder="1" applyAlignment="1" applyProtection="1">
      <alignment horizontal="left"/>
      <protection locked="0"/>
    </xf>
    <xf numFmtId="0" fontId="24" fillId="0" borderId="12" xfId="0" applyFont="1" applyFill="1" applyBorder="1" applyAlignment="1" applyProtection="1">
      <alignment horizontal="left" vertical="top"/>
      <protection locked="0"/>
    </xf>
    <xf numFmtId="0" fontId="24" fillId="0" borderId="12" xfId="0" applyFont="1" applyFill="1" applyBorder="1" applyProtection="1">
      <protection locked="0"/>
    </xf>
    <xf numFmtId="0" fontId="24" fillId="0" borderId="22" xfId="0" applyFont="1" applyFill="1" applyBorder="1" applyAlignment="1" applyProtection="1">
      <alignment horizontal="left" indent="1"/>
      <protection locked="0"/>
    </xf>
    <xf numFmtId="0" fontId="24" fillId="0" borderId="12" xfId="0" applyFont="1" applyFill="1" applyBorder="1" applyAlignment="1" applyProtection="1">
      <alignment horizontal="left" indent="1"/>
      <protection locked="0"/>
    </xf>
    <xf numFmtId="0" fontId="0" fillId="0" borderId="10" xfId="0" applyBorder="1"/>
    <xf numFmtId="0" fontId="31" fillId="0" borderId="14" xfId="0" applyFont="1" applyFill="1" applyBorder="1" applyAlignment="1" applyProtection="1">
      <alignment horizontal="center"/>
      <protection locked="0"/>
    </xf>
    <xf numFmtId="164" fontId="24" fillId="0" borderId="11" xfId="62" applyNumberFormat="1" applyFont="1" applyFill="1" applyBorder="1" applyAlignment="1" applyProtection="1">
      <alignment horizontal="center"/>
    </xf>
    <xf numFmtId="0" fontId="25" fillId="0" borderId="14" xfId="0" applyFont="1" applyBorder="1" applyAlignment="1">
      <alignment horizontal="center"/>
    </xf>
    <xf numFmtId="0" fontId="25" fillId="0" borderId="11" xfId="0" applyFont="1" applyFill="1" applyBorder="1" applyAlignment="1" applyProtection="1">
      <alignment horizontal="center"/>
    </xf>
    <xf numFmtId="14" fontId="24" fillId="0" borderId="11" xfId="0" applyNumberFormat="1" applyFont="1" applyFill="1" applyBorder="1" applyProtection="1">
      <protection locked="0"/>
    </xf>
    <xf numFmtId="0" fontId="25" fillId="0" borderId="11" xfId="62" applyFont="1" applyFill="1" applyBorder="1" applyAlignment="1" applyProtection="1">
      <alignment horizontal="center"/>
      <protection locked="0"/>
    </xf>
    <xf numFmtId="0" fontId="25" fillId="0" borderId="11" xfId="62" applyFont="1" applyFill="1" applyBorder="1" applyProtection="1">
      <protection locked="0"/>
    </xf>
    <xf numFmtId="0" fontId="24" fillId="0" borderId="11" xfId="62" applyFont="1" applyFill="1" applyBorder="1" applyAlignment="1" applyProtection="1">
      <alignment horizontal="center"/>
      <protection locked="0"/>
    </xf>
    <xf numFmtId="0" fontId="35" fillId="0" borderId="11" xfId="62" applyFont="1" applyFill="1" applyBorder="1" applyAlignment="1" applyProtection="1">
      <alignment horizontal="center"/>
      <protection locked="0"/>
    </xf>
    <xf numFmtId="0" fontId="24" fillId="0" borderId="11" xfId="62" applyFont="1" applyFill="1" applyBorder="1" applyAlignment="1" applyProtection="1">
      <alignment horizontal="left" indent="1"/>
      <protection locked="0"/>
    </xf>
    <xf numFmtId="1" fontId="24" fillId="0" borderId="11" xfId="62" applyNumberFormat="1" applyFont="1" applyFill="1" applyBorder="1" applyAlignment="1" applyProtection="1">
      <alignment horizontal="center"/>
      <protection locked="0"/>
    </xf>
    <xf numFmtId="2" fontId="24" fillId="0" borderId="11" xfId="62" applyNumberFormat="1" applyFont="1" applyFill="1" applyBorder="1" applyAlignment="1" applyProtection="1">
      <alignment horizontal="center"/>
      <protection locked="0"/>
    </xf>
    <xf numFmtId="0" fontId="25" fillId="0" borderId="11" xfId="62" applyFont="1" applyFill="1" applyBorder="1" applyAlignment="1" applyProtection="1">
      <protection locked="0"/>
    </xf>
    <xf numFmtId="0" fontId="36" fillId="0" borderId="11" xfId="62" applyFont="1" applyFill="1" applyBorder="1" applyAlignment="1" applyProtection="1">
      <alignment horizontal="center"/>
      <protection locked="0"/>
    </xf>
    <xf numFmtId="0" fontId="23" fillId="0" borderId="11" xfId="62" applyFont="1" applyFill="1" applyBorder="1" applyAlignment="1" applyProtection="1">
      <alignment horizontal="center" vertical="center"/>
      <protection locked="0"/>
    </xf>
    <xf numFmtId="0" fontId="24" fillId="0" borderId="11" xfId="62" applyFont="1" applyFill="1" applyBorder="1" applyAlignment="1" applyProtection="1">
      <alignment horizontal="left" vertical="center" indent="1"/>
      <protection locked="0"/>
    </xf>
    <xf numFmtId="0" fontId="22" fillId="0" borderId="11" xfId="62" applyFont="1" applyFill="1" applyBorder="1" applyAlignment="1" applyProtection="1">
      <alignment horizontal="center"/>
      <protection locked="0"/>
    </xf>
    <xf numFmtId="0" fontId="25" fillId="0" borderId="11" xfId="62" applyFont="1" applyFill="1" applyBorder="1" applyAlignment="1" applyProtection="1">
      <alignment horizontal="left" wrapText="1"/>
      <protection locked="0"/>
    </xf>
    <xf numFmtId="0" fontId="24" fillId="0" borderId="12" xfId="61" applyFont="1" applyFill="1" applyBorder="1" applyAlignment="1" applyProtection="1">
      <alignment horizontal="center"/>
      <protection locked="0"/>
    </xf>
    <xf numFmtId="2" fontId="24" fillId="0" borderId="11" xfId="62" applyNumberFormat="1" applyFont="1" applyFill="1" applyBorder="1" applyAlignment="1" applyProtection="1">
      <alignment horizontal="center"/>
    </xf>
    <xf numFmtId="164" fontId="24" fillId="0" borderId="11" xfId="62" applyNumberFormat="1" applyFont="1" applyFill="1" applyBorder="1" applyAlignment="1" applyProtection="1">
      <alignment horizontal="center"/>
      <protection locked="0"/>
    </xf>
    <xf numFmtId="164" fontId="24" fillId="0" borderId="11" xfId="62" applyNumberFormat="1" applyFont="1" applyFill="1" applyBorder="1" applyAlignment="1" applyProtection="1">
      <protection locked="0"/>
    </xf>
    <xf numFmtId="164" fontId="24" fillId="0" borderId="11" xfId="62" applyNumberFormat="1" applyFont="1" applyFill="1" applyBorder="1" applyAlignment="1" applyProtection="1">
      <alignment horizontal="right"/>
    </xf>
    <xf numFmtId="164" fontId="24" fillId="0" borderId="12" xfId="62" applyNumberFormat="1" applyFont="1" applyFill="1" applyBorder="1" applyAlignment="1" applyProtection="1">
      <alignment horizontal="center"/>
      <protection locked="0"/>
    </xf>
    <xf numFmtId="164" fontId="24" fillId="0" borderId="11" xfId="62" applyNumberFormat="1" applyFont="1" applyFill="1" applyBorder="1" applyAlignment="1" applyProtection="1">
      <alignment horizontal="right"/>
      <protection locked="0"/>
    </xf>
    <xf numFmtId="0" fontId="24" fillId="0" borderId="0" xfId="61" applyFont="1"/>
    <xf numFmtId="0" fontId="29" fillId="0" borderId="0" xfId="61" applyFont="1" applyFill="1" applyAlignment="1" applyProtection="1">
      <alignment horizontal="left"/>
      <protection locked="0"/>
    </xf>
    <xf numFmtId="0" fontId="29" fillId="0" borderId="0" xfId="61" applyFont="1" applyFill="1" applyProtection="1">
      <protection locked="0"/>
    </xf>
    <xf numFmtId="0" fontId="25" fillId="0" borderId="0" xfId="61" applyFont="1" applyFill="1" applyProtection="1">
      <protection locked="0"/>
    </xf>
    <xf numFmtId="0" fontId="24" fillId="0" borderId="0" xfId="61"/>
    <xf numFmtId="0" fontId="24" fillId="0" borderId="0" xfId="61" applyFont="1" applyFill="1" applyProtection="1">
      <protection locked="0"/>
    </xf>
    <xf numFmtId="0" fontId="25" fillId="0" borderId="0" xfId="61" applyFont="1" applyFill="1" applyAlignment="1" applyProtection="1">
      <alignment horizontal="left"/>
      <protection locked="0"/>
    </xf>
    <xf numFmtId="0" fontId="24" fillId="0" borderId="10" xfId="61" applyFont="1" applyFill="1" applyBorder="1" applyProtection="1">
      <protection locked="0"/>
    </xf>
    <xf numFmtId="0" fontId="24" fillId="0" borderId="0" xfId="61" applyFont="1" applyFill="1" applyBorder="1" applyProtection="1">
      <protection locked="0"/>
    </xf>
    <xf numFmtId="0" fontId="33" fillId="0" borderId="0" xfId="61" applyFont="1" applyFill="1" applyBorder="1" applyProtection="1">
      <protection locked="0"/>
    </xf>
    <xf numFmtId="0" fontId="31" fillId="0" borderId="0" xfId="61" applyFont="1" applyFill="1" applyBorder="1" applyProtection="1">
      <protection locked="0"/>
    </xf>
    <xf numFmtId="0" fontId="31" fillId="0" borderId="0" xfId="61" applyFont="1" applyFill="1" applyProtection="1">
      <protection locked="0"/>
    </xf>
    <xf numFmtId="0" fontId="32" fillId="0" borderId="0" xfId="61" applyFont="1" applyFill="1" applyProtection="1">
      <protection locked="0"/>
    </xf>
    <xf numFmtId="0" fontId="31" fillId="0" borderId="0" xfId="61" applyFont="1" applyFill="1" applyAlignment="1" applyProtection="1">
      <protection locked="0"/>
    </xf>
    <xf numFmtId="0" fontId="24" fillId="0" borderId="0" xfId="61" applyFont="1" applyFill="1" applyAlignment="1" applyProtection="1">
      <alignment wrapText="1"/>
      <protection locked="0"/>
    </xf>
    <xf numFmtId="0" fontId="25" fillId="0" borderId="0" xfId="61" applyFont="1" applyFill="1" applyAlignment="1" applyProtection="1">
      <alignment vertical="top"/>
      <protection locked="0"/>
    </xf>
    <xf numFmtId="0" fontId="24" fillId="0" borderId="0" xfId="61" applyFont="1" applyFill="1" applyBorder="1" applyAlignment="1" applyProtection="1">
      <alignment wrapText="1"/>
      <protection locked="0"/>
    </xf>
    <xf numFmtId="0" fontId="25" fillId="0" borderId="11" xfId="61" applyFont="1" applyFill="1" applyBorder="1" applyAlignment="1" applyProtection="1">
      <alignment horizontal="center" wrapText="1"/>
      <protection locked="0"/>
    </xf>
    <xf numFmtId="0" fontId="25" fillId="0" borderId="11" xfId="61" applyFont="1" applyFill="1" applyBorder="1" applyProtection="1">
      <protection locked="0"/>
    </xf>
    <xf numFmtId="0" fontId="25" fillId="0" borderId="0" xfId="61" applyFont="1" applyFill="1" applyBorder="1" applyProtection="1">
      <protection locked="0"/>
    </xf>
    <xf numFmtId="0" fontId="24" fillId="0" borderId="11" xfId="61" applyFont="1" applyFill="1" applyBorder="1" applyAlignment="1" applyProtection="1">
      <alignment horizontal="center" wrapText="1"/>
      <protection locked="0"/>
    </xf>
    <xf numFmtId="0" fontId="24" fillId="0" borderId="11" xfId="61" applyFont="1" applyFill="1" applyBorder="1" applyProtection="1">
      <protection locked="0"/>
    </xf>
    <xf numFmtId="0" fontId="24" fillId="0" borderId="11" xfId="62" applyFont="1" applyFill="1" applyBorder="1" applyAlignment="1" applyProtection="1">
      <alignment horizontal="left" wrapText="1" indent="1"/>
      <protection locked="0"/>
    </xf>
    <xf numFmtId="0" fontId="24" fillId="0" borderId="11" xfId="61" applyFont="1" applyFill="1" applyBorder="1" applyAlignment="1" applyProtection="1">
      <alignment horizontal="left" wrapText="1" indent="1"/>
      <protection locked="0"/>
    </xf>
    <xf numFmtId="0" fontId="24" fillId="0" borderId="12" xfId="61" applyFont="1" applyFill="1" applyBorder="1" applyAlignment="1" applyProtection="1">
      <alignment horizontal="center" wrapText="1"/>
      <protection locked="0"/>
    </xf>
    <xf numFmtId="0" fontId="24" fillId="0" borderId="15" xfId="61" applyBorder="1" applyAlignment="1" applyProtection="1">
      <alignment horizontal="center" wrapText="1"/>
      <protection locked="0"/>
    </xf>
    <xf numFmtId="0" fontId="25" fillId="0" borderId="11" xfId="62" applyFont="1" applyFill="1" applyBorder="1" applyAlignment="1" applyProtection="1">
      <alignment wrapText="1"/>
      <protection locked="0"/>
    </xf>
    <xf numFmtId="0" fontId="34" fillId="0" borderId="0" xfId="61" applyFont="1" applyFill="1" applyBorder="1" applyAlignment="1" applyProtection="1">
      <alignment wrapText="1"/>
      <protection locked="0"/>
    </xf>
    <xf numFmtId="0" fontId="25" fillId="0" borderId="11" xfId="61" applyFont="1" applyFill="1" applyBorder="1" applyAlignment="1" applyProtection="1">
      <protection locked="0"/>
    </xf>
    <xf numFmtId="164" fontId="24" fillId="0" borderId="11" xfId="29" applyNumberFormat="1" applyFont="1" applyFill="1" applyBorder="1" applyAlignment="1" applyProtection="1"/>
    <xf numFmtId="0" fontId="24" fillId="0" borderId="15" xfId="61" applyFont="1" applyFill="1" applyBorder="1" applyAlignment="1" applyProtection="1">
      <alignment horizontal="center" wrapText="1"/>
      <protection locked="0"/>
    </xf>
    <xf numFmtId="0" fontId="22" fillId="0" borderId="11" xfId="61" applyFont="1" applyFill="1" applyBorder="1" applyAlignment="1" applyProtection="1">
      <alignment horizontal="center"/>
      <protection locked="0"/>
    </xf>
    <xf numFmtId="164" fontId="24" fillId="0" borderId="11" xfId="61" applyNumberFormat="1" applyFont="1" applyFill="1" applyBorder="1" applyAlignment="1" applyProtection="1">
      <alignment horizontal="center"/>
      <protection locked="0"/>
    </xf>
    <xf numFmtId="0" fontId="22" fillId="0" borderId="11" xfId="61" applyFont="1" applyFill="1" applyBorder="1" applyAlignment="1" applyProtection="1">
      <alignment horizontal="center" vertical="center"/>
      <protection locked="0"/>
    </xf>
    <xf numFmtId="0" fontId="25" fillId="0" borderId="11" xfId="61" applyFont="1" applyFill="1" applyBorder="1" applyAlignment="1" applyProtection="1">
      <alignment vertical="center" wrapText="1"/>
      <protection locked="0"/>
    </xf>
    <xf numFmtId="164" fontId="24" fillId="0" borderId="11" xfId="29" applyNumberFormat="1" applyFont="1" applyFill="1" applyBorder="1" applyAlignment="1" applyProtection="1">
      <alignment horizontal="right"/>
    </xf>
    <xf numFmtId="0" fontId="23" fillId="0" borderId="11" xfId="61" applyFont="1" applyFill="1" applyBorder="1" applyAlignment="1" applyProtection="1">
      <alignment horizontal="center" vertical="center"/>
      <protection locked="0"/>
    </xf>
    <xf numFmtId="0" fontId="23" fillId="0" borderId="11" xfId="61" applyFont="1" applyFill="1" applyBorder="1" applyAlignment="1" applyProtection="1">
      <alignment horizontal="left" vertical="center" wrapText="1" indent="1"/>
      <protection locked="0"/>
    </xf>
    <xf numFmtId="0" fontId="35" fillId="0" borderId="11" xfId="61" applyFont="1" applyFill="1" applyBorder="1" applyAlignment="1" applyProtection="1">
      <alignment horizontal="center" vertical="center"/>
      <protection locked="0"/>
    </xf>
    <xf numFmtId="0" fontId="23" fillId="0" borderId="11" xfId="61" applyFont="1" applyFill="1" applyBorder="1" applyAlignment="1" applyProtection="1">
      <alignment horizontal="left" vertical="center" indent="1"/>
      <protection locked="0"/>
    </xf>
    <xf numFmtId="0" fontId="25" fillId="0" borderId="11" xfId="61" applyFont="1" applyFill="1" applyBorder="1" applyAlignment="1" applyProtection="1">
      <alignment vertical="center"/>
      <protection locked="0"/>
    </xf>
    <xf numFmtId="0" fontId="35" fillId="0" borderId="11" xfId="61" applyFont="1" applyFill="1" applyBorder="1" applyAlignment="1" applyProtection="1">
      <alignment horizontal="center"/>
      <protection locked="0"/>
    </xf>
    <xf numFmtId="0" fontId="22" fillId="0" borderId="11" xfId="61" applyFont="1" applyFill="1" applyBorder="1" applyProtection="1">
      <protection locked="0"/>
    </xf>
    <xf numFmtId="0" fontId="23" fillId="0" borderId="11" xfId="61" applyFont="1" applyFill="1" applyBorder="1" applyProtection="1">
      <protection locked="0"/>
    </xf>
    <xf numFmtId="0" fontId="23" fillId="0" borderId="11" xfId="61" applyFont="1" applyFill="1" applyBorder="1" applyAlignment="1" applyProtection="1">
      <alignment horizontal="left" indent="1"/>
      <protection locked="0"/>
    </xf>
    <xf numFmtId="0" fontId="24" fillId="0" borderId="11" xfId="61" applyFont="1" applyFill="1" applyBorder="1" applyAlignment="1" applyProtection="1">
      <alignment horizontal="center"/>
      <protection locked="0"/>
    </xf>
    <xf numFmtId="0" fontId="25" fillId="0" borderId="11" xfId="61" applyFont="1" applyFill="1" applyBorder="1" applyAlignment="1" applyProtection="1">
      <alignment horizontal="center"/>
      <protection locked="0"/>
    </xf>
    <xf numFmtId="0" fontId="22" fillId="0" borderId="11" xfId="61" applyFont="1" applyFill="1" applyBorder="1" applyAlignment="1" applyProtection="1">
      <alignment horizontal="left" indent="1"/>
      <protection locked="0"/>
    </xf>
    <xf numFmtId="0" fontId="25" fillId="0" borderId="11" xfId="61" applyFont="1" applyFill="1" applyBorder="1" applyAlignment="1" applyProtection="1">
      <alignment wrapText="1"/>
      <protection locked="0"/>
    </xf>
    <xf numFmtId="0" fontId="24" fillId="0" borderId="11" xfId="61" applyFont="1" applyFill="1" applyBorder="1" applyAlignment="1" applyProtection="1">
      <alignment wrapText="1"/>
      <protection locked="0"/>
    </xf>
    <xf numFmtId="0" fontId="24" fillId="0" borderId="11" xfId="61" applyFont="1" applyFill="1" applyBorder="1" applyAlignment="1" applyProtection="1">
      <alignment horizontal="left" indent="1"/>
      <protection locked="0"/>
    </xf>
    <xf numFmtId="164" fontId="24" fillId="0" borderId="11" xfId="61" applyNumberFormat="1" applyFont="1" applyFill="1" applyBorder="1" applyAlignment="1" applyProtection="1">
      <alignment horizontal="center" wrapText="1"/>
      <protection locked="0"/>
    </xf>
    <xf numFmtId="0" fontId="24" fillId="0" borderId="14" xfId="61" applyFont="1" applyFill="1" applyBorder="1" applyAlignment="1" applyProtection="1">
      <alignment horizontal="center" wrapText="1"/>
      <protection locked="0"/>
    </xf>
    <xf numFmtId="0" fontId="24" fillId="0" borderId="14" xfId="61" applyFont="1" applyFill="1" applyBorder="1" applyAlignment="1" applyProtection="1">
      <alignment wrapText="1"/>
      <protection locked="0"/>
    </xf>
    <xf numFmtId="164" fontId="24" fillId="0" borderId="11" xfId="61" applyNumberFormat="1" applyFont="1" applyFill="1" applyBorder="1" applyAlignment="1" applyProtection="1">
      <alignment horizontal="center"/>
    </xf>
    <xf numFmtId="164" fontId="5" fillId="14" borderId="11" xfId="29" applyNumberFormat="1" applyFont="1" applyFill="1" applyBorder="1" applyAlignment="1" applyProtection="1">
      <alignment horizontal="right"/>
    </xf>
    <xf numFmtId="0" fontId="33" fillId="0" borderId="0" xfId="61" applyFont="1" applyFill="1" applyProtection="1">
      <protection locked="0"/>
    </xf>
    <xf numFmtId="0" fontId="44" fillId="0" borderId="11" xfId="60" applyFill="1" applyBorder="1" applyAlignment="1" applyProtection="1">
      <alignment horizontal="center"/>
      <protection locked="0"/>
    </xf>
    <xf numFmtId="0" fontId="44" fillId="0" borderId="10" xfId="60" applyFill="1" applyBorder="1" applyAlignment="1" applyProtection="1">
      <protection locked="0"/>
    </xf>
    <xf numFmtId="3" fontId="0" fillId="0" borderId="11" xfId="0" applyNumberFormat="1" applyBorder="1"/>
    <xf numFmtId="0" fontId="0" fillId="0" borderId="11" xfId="0" applyBorder="1" applyAlignment="1"/>
    <xf numFmtId="3" fontId="0" fillId="0" borderId="10" xfId="0" applyNumberFormat="1" applyFill="1" applyBorder="1"/>
    <xf numFmtId="0" fontId="23" fillId="0" borderId="16" xfId="0" applyFont="1" applyFill="1" applyBorder="1" applyAlignment="1" applyProtection="1">
      <alignment horizontal="center"/>
      <protection locked="0"/>
    </xf>
    <xf numFmtId="0" fontId="23" fillId="0" borderId="16" xfId="0" applyFont="1" applyFill="1" applyBorder="1" applyAlignment="1" applyProtection="1">
      <alignment horizontal="left" indent="1"/>
      <protection locked="0"/>
    </xf>
    <xf numFmtId="3" fontId="0" fillId="0" borderId="0" xfId="0" applyNumberFormat="1" applyFill="1"/>
    <xf numFmtId="0" fontId="23" fillId="0" borderId="14" xfId="0" applyFont="1" applyFill="1" applyBorder="1" applyAlignment="1" applyProtection="1">
      <alignment horizontal="center"/>
      <protection locked="0"/>
    </xf>
    <xf numFmtId="0" fontId="22" fillId="0" borderId="14" xfId="0" applyFont="1" applyFill="1" applyBorder="1" applyAlignment="1" applyProtection="1">
      <alignment horizontal="left" vertical="top" wrapText="1"/>
      <protection locked="0"/>
    </xf>
    <xf numFmtId="0" fontId="41" fillId="0" borderId="11" xfId="0" applyFont="1" applyFill="1" applyBorder="1" applyAlignment="1" applyProtection="1">
      <alignment horizontal="center"/>
      <protection locked="0"/>
    </xf>
    <xf numFmtId="0" fontId="25" fillId="0" borderId="39" xfId="0" applyFont="1" applyFill="1" applyBorder="1" applyAlignment="1" applyProtection="1">
      <alignment horizontal="center"/>
      <protection locked="0"/>
    </xf>
    <xf numFmtId="0" fontId="25" fillId="0" borderId="39" xfId="0" applyFont="1" applyFill="1" applyBorder="1" applyProtection="1">
      <protection locked="0"/>
    </xf>
    <xf numFmtId="0" fontId="0" fillId="0" borderId="39" xfId="0" applyBorder="1"/>
    <xf numFmtId="0" fontId="24" fillId="0" borderId="39" xfId="0" applyFont="1" applyFill="1" applyBorder="1" applyAlignment="1" applyProtection="1">
      <alignment horizontal="center"/>
      <protection locked="0"/>
    </xf>
    <xf numFmtId="0" fontId="24" fillId="0" borderId="39" xfId="0" applyFont="1" applyFill="1" applyBorder="1" applyAlignment="1" applyProtection="1">
      <alignment horizontal="center" wrapText="1"/>
      <protection locked="0"/>
    </xf>
    <xf numFmtId="0" fontId="36" fillId="0" borderId="39" xfId="0" applyFont="1" applyFill="1" applyBorder="1" applyAlignment="1" applyProtection="1">
      <alignment horizontal="center"/>
      <protection locked="0"/>
    </xf>
    <xf numFmtId="0" fontId="24" fillId="0" borderId="39" xfId="0" applyFont="1" applyFill="1" applyBorder="1" applyAlignment="1" applyProtection="1">
      <alignment horizontal="center"/>
    </xf>
    <xf numFmtId="0" fontId="24" fillId="0" borderId="39" xfId="0" applyFont="1" applyFill="1" applyBorder="1" applyProtection="1">
      <protection locked="0"/>
    </xf>
    <xf numFmtId="0" fontId="35" fillId="0" borderId="39" xfId="0" applyFont="1" applyFill="1" applyBorder="1" applyAlignment="1" applyProtection="1">
      <alignment horizontal="center"/>
      <protection locked="0"/>
    </xf>
    <xf numFmtId="0" fontId="24" fillId="0" borderId="39" xfId="0" applyFont="1" applyFill="1" applyBorder="1" applyAlignment="1" applyProtection="1">
      <alignment horizontal="left" indent="1"/>
      <protection locked="0"/>
    </xf>
    <xf numFmtId="0" fontId="24" fillId="0" borderId="39" xfId="0" applyFont="1" applyFill="1" applyBorder="1" applyAlignment="1" applyProtection="1">
      <alignment horizontal="left" indent="2"/>
      <protection locked="0"/>
    </xf>
    <xf numFmtId="0" fontId="24" fillId="0" borderId="39" xfId="0" applyFont="1" applyFill="1" applyBorder="1" applyAlignment="1" applyProtection="1">
      <alignment horizontal="left" wrapText="1" indent="2"/>
      <protection locked="0"/>
    </xf>
    <xf numFmtId="0" fontId="25" fillId="0" borderId="39" xfId="0" applyFont="1" applyFill="1" applyBorder="1" applyAlignment="1" applyProtection="1">
      <alignment horizontal="left" indent="2"/>
      <protection locked="0"/>
    </xf>
    <xf numFmtId="0" fontId="24" fillId="0" borderId="39" xfId="0" applyFont="1" applyFill="1" applyBorder="1" applyAlignment="1" applyProtection="1">
      <alignment horizontal="left" wrapText="1" indent="1"/>
      <protection locked="0"/>
    </xf>
    <xf numFmtId="3" fontId="24" fillId="0" borderId="39" xfId="0" applyNumberFormat="1" applyFont="1" applyBorder="1" applyAlignment="1">
      <alignment horizontal="center"/>
    </xf>
    <xf numFmtId="0" fontId="35" fillId="0" borderId="18" xfId="0" applyFont="1" applyFill="1" applyBorder="1" applyAlignment="1" applyProtection="1">
      <alignment horizontal="center"/>
      <protection locked="0"/>
    </xf>
    <xf numFmtId="0" fontId="24" fillId="0" borderId="30" xfId="0" applyFont="1" applyFill="1" applyBorder="1" applyAlignment="1" applyProtection="1">
      <alignment horizontal="left" wrapText="1" indent="2"/>
      <protection locked="0"/>
    </xf>
    <xf numFmtId="0" fontId="0" fillId="0" borderId="10" xfId="61" applyFont="1" applyFill="1" applyBorder="1" applyProtection="1">
      <protection locked="0"/>
    </xf>
    <xf numFmtId="0" fontId="0" fillId="0" borderId="11" xfId="0" applyFill="1" applyBorder="1" applyAlignment="1" applyProtection="1">
      <alignment horizontal="center"/>
      <protection locked="0"/>
    </xf>
    <xf numFmtId="0" fontId="0" fillId="0" borderId="11" xfId="0" applyFill="1" applyBorder="1" applyAlignment="1" applyProtection="1">
      <alignment horizontal="center"/>
    </xf>
    <xf numFmtId="0" fontId="0" fillId="0" borderId="40" xfId="0" applyBorder="1"/>
    <xf numFmtId="0" fontId="24" fillId="0" borderId="40" xfId="61" applyFont="1" applyFill="1" applyBorder="1" applyProtection="1">
      <protection locked="0"/>
    </xf>
    <xf numFmtId="0" fontId="22" fillId="25" borderId="11" xfId="61" applyFont="1" applyFill="1" applyBorder="1" applyAlignment="1" applyProtection="1">
      <alignment horizontal="center"/>
      <protection locked="0"/>
    </xf>
    <xf numFmtId="0" fontId="25" fillId="25" borderId="11" xfId="61" applyFont="1" applyFill="1" applyBorder="1" applyAlignment="1" applyProtection="1">
      <protection locked="0"/>
    </xf>
    <xf numFmtId="164" fontId="24" fillId="25" borderId="11" xfId="61" applyNumberFormat="1" applyFont="1" applyFill="1" applyBorder="1" applyAlignment="1" applyProtection="1">
      <alignment horizontal="center"/>
      <protection locked="0"/>
    </xf>
    <xf numFmtId="0" fontId="24" fillId="25" borderId="11" xfId="61" applyFont="1" applyFill="1" applyBorder="1" applyAlignment="1" applyProtection="1">
      <alignment horizontal="center" wrapText="1"/>
      <protection locked="0"/>
    </xf>
    <xf numFmtId="0" fontId="24" fillId="25" borderId="11" xfId="61" applyFont="1" applyFill="1" applyBorder="1" applyProtection="1">
      <protection locked="0"/>
    </xf>
    <xf numFmtId="0" fontId="22" fillId="25" borderId="11" xfId="61" applyFont="1" applyFill="1" applyBorder="1" applyAlignment="1" applyProtection="1">
      <alignment horizontal="center" vertical="center"/>
      <protection locked="0"/>
    </xf>
    <xf numFmtId="0" fontId="25" fillId="25" borderId="11" xfId="61" applyFont="1" applyFill="1" applyBorder="1" applyAlignment="1" applyProtection="1">
      <alignment vertical="center" wrapText="1"/>
      <protection locked="0"/>
    </xf>
    <xf numFmtId="0" fontId="23" fillId="25" borderId="11" xfId="61" applyFont="1" applyFill="1" applyBorder="1" applyAlignment="1" applyProtection="1">
      <alignment horizontal="center" vertical="center"/>
      <protection locked="0"/>
    </xf>
    <xf numFmtId="0" fontId="23" fillId="25" borderId="11" xfId="61" applyFont="1" applyFill="1" applyBorder="1" applyAlignment="1" applyProtection="1">
      <alignment horizontal="left" vertical="center" wrapText="1" indent="1"/>
      <protection locked="0"/>
    </xf>
    <xf numFmtId="164" fontId="24" fillId="25" borderId="11" xfId="62" applyNumberFormat="1" applyFont="1" applyFill="1" applyBorder="1" applyAlignment="1" applyProtection="1">
      <alignment horizontal="center"/>
      <protection locked="0"/>
    </xf>
    <xf numFmtId="164" fontId="24" fillId="25" borderId="11" xfId="62" applyNumberFormat="1" applyFont="1" applyFill="1" applyBorder="1" applyAlignment="1" applyProtection="1">
      <alignment horizontal="right"/>
    </xf>
    <xf numFmtId="0" fontId="35" fillId="25" borderId="11" xfId="61" applyFont="1" applyFill="1" applyBorder="1" applyAlignment="1" applyProtection="1">
      <alignment horizontal="center" vertical="center"/>
      <protection locked="0"/>
    </xf>
    <xf numFmtId="0" fontId="23" fillId="25" borderId="11" xfId="61" applyFont="1" applyFill="1" applyBorder="1" applyAlignment="1" applyProtection="1">
      <alignment horizontal="left" vertical="center" indent="1"/>
      <protection locked="0"/>
    </xf>
    <xf numFmtId="0" fontId="25" fillId="25" borderId="11" xfId="61" applyFont="1" applyFill="1" applyBorder="1" applyAlignment="1" applyProtection="1">
      <alignment vertical="center"/>
      <protection locked="0"/>
    </xf>
    <xf numFmtId="0" fontId="25" fillId="25" borderId="11" xfId="61" applyFont="1" applyFill="1" applyBorder="1" applyProtection="1">
      <protection locked="0"/>
    </xf>
    <xf numFmtId="0" fontId="35" fillId="25" borderId="11" xfId="61" applyFont="1" applyFill="1" applyBorder="1" applyAlignment="1" applyProtection="1">
      <alignment horizontal="center"/>
      <protection locked="0"/>
    </xf>
    <xf numFmtId="0" fontId="22" fillId="25" borderId="11" xfId="61" applyFont="1" applyFill="1" applyBorder="1" applyProtection="1">
      <protection locked="0"/>
    </xf>
    <xf numFmtId="0" fontId="25" fillId="25" borderId="11" xfId="61" applyFont="1" applyFill="1" applyBorder="1" applyAlignment="1" applyProtection="1">
      <alignment horizontal="center" wrapText="1"/>
      <protection locked="0"/>
    </xf>
    <xf numFmtId="0" fontId="23" fillId="25" borderId="11" xfId="61" applyFont="1" applyFill="1" applyBorder="1" applyProtection="1">
      <protection locked="0"/>
    </xf>
    <xf numFmtId="0" fontId="23" fillId="25" borderId="11" xfId="61" applyFont="1" applyFill="1" applyBorder="1" applyAlignment="1" applyProtection="1">
      <alignment horizontal="left" indent="1"/>
      <protection locked="0"/>
    </xf>
    <xf numFmtId="0" fontId="24" fillId="25" borderId="11" xfId="61" applyFont="1" applyFill="1" applyBorder="1" applyAlignment="1" applyProtection="1">
      <alignment horizontal="center"/>
      <protection locked="0"/>
    </xf>
    <xf numFmtId="0" fontId="25" fillId="25" borderId="11" xfId="61" applyFont="1" applyFill="1" applyBorder="1" applyAlignment="1" applyProtection="1">
      <alignment horizontal="center"/>
      <protection locked="0"/>
    </xf>
    <xf numFmtId="164" fontId="24" fillId="25" borderId="12" xfId="62" applyNumberFormat="1" applyFont="1" applyFill="1" applyBorder="1" applyAlignment="1" applyProtection="1">
      <alignment horizontal="center"/>
      <protection locked="0"/>
    </xf>
    <xf numFmtId="0" fontId="22" fillId="25" borderId="11" xfId="0" applyFont="1" applyFill="1" applyBorder="1" applyAlignment="1" applyProtection="1">
      <alignment horizontal="left" indent="1"/>
      <protection locked="0"/>
    </xf>
    <xf numFmtId="0" fontId="35" fillId="25" borderId="11" xfId="0" applyFont="1" applyFill="1" applyBorder="1" applyAlignment="1" applyProtection="1">
      <alignment horizontal="center"/>
      <protection locked="0"/>
    </xf>
    <xf numFmtId="3" fontId="24" fillId="25" borderId="11" xfId="0" applyNumberFormat="1" applyFont="1" applyFill="1" applyBorder="1" applyAlignment="1" applyProtection="1">
      <alignment horizontal="center" wrapText="1"/>
      <protection locked="0"/>
    </xf>
    <xf numFmtId="0" fontId="22" fillId="25" borderId="11" xfId="0" applyFont="1" applyFill="1" applyBorder="1" applyAlignment="1" applyProtection="1">
      <alignment horizontal="center"/>
      <protection locked="0"/>
    </xf>
    <xf numFmtId="0" fontId="22" fillId="25" borderId="12" xfId="0" applyFont="1" applyFill="1" applyBorder="1" applyAlignment="1" applyProtection="1">
      <alignment horizontal="left" vertical="top"/>
      <protection locked="0"/>
    </xf>
    <xf numFmtId="0" fontId="0" fillId="25" borderId="17" xfId="0" applyFill="1" applyBorder="1" applyAlignment="1"/>
    <xf numFmtId="0" fontId="23" fillId="25" borderId="16" xfId="0" applyFont="1" applyFill="1" applyBorder="1" applyProtection="1">
      <protection locked="0"/>
    </xf>
    <xf numFmtId="3" fontId="24" fillId="25" borderId="18" xfId="0" applyNumberFormat="1" applyFont="1" applyFill="1" applyBorder="1" applyAlignment="1" applyProtection="1">
      <alignment horizontal="center"/>
      <protection locked="0"/>
    </xf>
    <xf numFmtId="0" fontId="23" fillId="25" borderId="11" xfId="0" applyFont="1" applyFill="1" applyBorder="1" applyProtection="1">
      <protection locked="0"/>
    </xf>
    <xf numFmtId="3" fontId="24" fillId="25" borderId="20" xfId="0" applyNumberFormat="1" applyFont="1" applyFill="1" applyBorder="1" applyAlignment="1" applyProtection="1">
      <alignment horizontal="center"/>
      <protection locked="0"/>
    </xf>
    <xf numFmtId="0" fontId="22" fillId="25" borderId="11" xfId="0" applyFont="1" applyFill="1" applyBorder="1" applyProtection="1">
      <protection locked="0"/>
    </xf>
    <xf numFmtId="3" fontId="24" fillId="25" borderId="12" xfId="0" applyNumberFormat="1" applyFont="1" applyFill="1" applyBorder="1" applyAlignment="1" applyProtection="1">
      <alignment horizontal="center"/>
    </xf>
    <xf numFmtId="0" fontId="23" fillId="25" borderId="11" xfId="0" applyFont="1" applyFill="1" applyBorder="1" applyAlignment="1" applyProtection="1">
      <alignment horizontal="center"/>
      <protection locked="0"/>
    </xf>
    <xf numFmtId="0" fontId="23" fillId="25" borderId="11" xfId="0" applyFont="1" applyFill="1" applyBorder="1" applyAlignment="1" applyProtection="1">
      <alignment horizontal="left" indent="1"/>
      <protection locked="0"/>
    </xf>
    <xf numFmtId="0" fontId="24" fillId="25" borderId="12" xfId="0" applyFont="1" applyFill="1" applyBorder="1" applyAlignment="1" applyProtection="1">
      <alignment horizontal="center"/>
      <protection locked="0"/>
    </xf>
    <xf numFmtId="3" fontId="24" fillId="25" borderId="12" xfId="0" applyNumberFormat="1" applyFont="1" applyFill="1" applyBorder="1" applyAlignment="1" applyProtection="1">
      <alignment horizontal="center"/>
      <protection locked="0"/>
    </xf>
    <xf numFmtId="0" fontId="22" fillId="25" borderId="11" xfId="0" applyFont="1" applyFill="1" applyBorder="1" applyAlignment="1" applyProtection="1">
      <alignment horizontal="left" vertical="top" wrapText="1"/>
      <protection locked="0"/>
    </xf>
    <xf numFmtId="0" fontId="24" fillId="25" borderId="11" xfId="0" applyFont="1" applyFill="1" applyBorder="1" applyAlignment="1" applyProtection="1">
      <alignment horizontal="left" indent="1"/>
      <protection locked="0"/>
    </xf>
    <xf numFmtId="0" fontId="24" fillId="25" borderId="12" xfId="0" applyFont="1" applyFill="1" applyBorder="1" applyAlignment="1" applyProtection="1">
      <alignment horizontal="center"/>
    </xf>
    <xf numFmtId="0" fontId="24" fillId="25" borderId="11" xfId="0" applyFont="1" applyFill="1" applyBorder="1" applyAlignment="1" applyProtection="1">
      <alignment horizontal="center"/>
    </xf>
    <xf numFmtId="0" fontId="35" fillId="25" borderId="0" xfId="0" applyFont="1" applyFill="1" applyBorder="1" applyAlignment="1" applyProtection="1">
      <alignment horizontal="center"/>
      <protection locked="0"/>
    </xf>
    <xf numFmtId="0" fontId="24" fillId="25" borderId="13" xfId="0" applyFont="1" applyFill="1" applyBorder="1" applyAlignment="1" applyProtection="1">
      <alignment horizontal="left" indent="1"/>
      <protection locked="0"/>
    </xf>
    <xf numFmtId="0" fontId="24" fillId="25" borderId="0" xfId="0" applyFont="1" applyFill="1" applyBorder="1" applyAlignment="1" applyProtection="1">
      <alignment horizontal="center"/>
      <protection locked="0"/>
    </xf>
    <xf numFmtId="0" fontId="24" fillId="25" borderId="22" xfId="0" applyFont="1" applyFill="1" applyBorder="1" applyAlignment="1" applyProtection="1">
      <alignment horizontal="center"/>
      <protection locked="0"/>
    </xf>
    <xf numFmtId="0" fontId="24" fillId="25" borderId="23" xfId="0" applyFont="1" applyFill="1" applyBorder="1" applyAlignment="1" applyProtection="1">
      <alignment horizontal="center"/>
      <protection locked="0"/>
    </xf>
    <xf numFmtId="0" fontId="24" fillId="25" borderId="11" xfId="0" applyFont="1" applyFill="1" applyBorder="1" applyAlignment="1" applyProtection="1">
      <alignment horizontal="left" vertical="top"/>
      <protection locked="0"/>
    </xf>
    <xf numFmtId="0" fontId="24" fillId="0" borderId="24" xfId="0" applyFont="1" applyFill="1" applyBorder="1" applyAlignment="1" applyProtection="1">
      <alignment horizontal="center"/>
      <protection locked="0"/>
    </xf>
    <xf numFmtId="0" fontId="25" fillId="25" borderId="0" xfId="0" applyFont="1" applyFill="1" applyAlignment="1" applyProtection="1">
      <alignment horizontal="center"/>
      <protection locked="0"/>
    </xf>
    <xf numFmtId="0" fontId="24" fillId="25" borderId="0" xfId="0" applyFont="1" applyFill="1" applyAlignment="1" applyProtection="1">
      <alignment horizontal="center"/>
      <protection locked="0"/>
    </xf>
    <xf numFmtId="0" fontId="24" fillId="25" borderId="11" xfId="0" applyFont="1" applyFill="1" applyBorder="1" applyAlignment="1" applyProtection="1">
      <alignment horizontal="center" wrapText="1"/>
      <protection locked="0"/>
    </xf>
    <xf numFmtId="0" fontId="24" fillId="25" borderId="11" xfId="0" applyFont="1" applyFill="1" applyBorder="1" applyAlignment="1" applyProtection="1">
      <alignment horizontal="left" indent="2"/>
      <protection locked="0"/>
    </xf>
    <xf numFmtId="0" fontId="24" fillId="25" borderId="11" xfId="0" applyFont="1" applyFill="1" applyBorder="1" applyAlignment="1" applyProtection="1">
      <alignment horizontal="left" wrapText="1" indent="2"/>
      <protection locked="0"/>
    </xf>
    <xf numFmtId="0" fontId="25" fillId="25" borderId="0" xfId="0" applyFont="1" applyFill="1" applyBorder="1" applyAlignment="1" applyProtection="1">
      <alignment horizontal="left"/>
      <protection locked="0"/>
    </xf>
    <xf numFmtId="0" fontId="25" fillId="25" borderId="11" xfId="0" applyFont="1" applyFill="1" applyBorder="1" applyAlignment="1" applyProtection="1">
      <alignment horizontal="left" indent="2"/>
      <protection locked="0"/>
    </xf>
    <xf numFmtId="0" fontId="25" fillId="25" borderId="0" xfId="0" applyFont="1" applyFill="1" applyBorder="1" applyAlignment="1" applyProtection="1">
      <alignment horizontal="left" indent="2"/>
      <protection locked="0"/>
    </xf>
    <xf numFmtId="0" fontId="24" fillId="25" borderId="11" xfId="0" applyFont="1" applyFill="1" applyBorder="1" applyAlignment="1" applyProtection="1">
      <alignment horizontal="left" wrapText="1" indent="1"/>
      <protection locked="0"/>
    </xf>
    <xf numFmtId="3" fontId="0" fillId="25" borderId="11" xfId="0" applyNumberFormat="1" applyFill="1" applyBorder="1"/>
    <xf numFmtId="0" fontId="25" fillId="25" borderId="11" xfId="0" applyFont="1" applyFill="1" applyBorder="1" applyAlignment="1" applyProtection="1">
      <alignment horizontal="center" wrapText="1"/>
      <protection locked="0"/>
    </xf>
    <xf numFmtId="0" fontId="24" fillId="0" borderId="15" xfId="61" applyFont="1" applyBorder="1" applyAlignment="1" applyProtection="1">
      <alignment horizontal="center" wrapText="1"/>
      <protection locked="0"/>
    </xf>
    <xf numFmtId="3" fontId="70" fillId="0" borderId="0" xfId="0" applyNumberFormat="1" applyFont="1"/>
    <xf numFmtId="0" fontId="70" fillId="0" borderId="0" xfId="0" applyFont="1" applyAlignment="1">
      <alignment horizontal="right"/>
    </xf>
    <xf numFmtId="0" fontId="25" fillId="0" borderId="11" xfId="40" applyFont="1" applyFill="1" applyBorder="1" applyAlignment="1" applyProtection="1">
      <alignment horizontal="center" wrapText="1"/>
      <protection locked="0"/>
    </xf>
    <xf numFmtId="0" fontId="24" fillId="0" borderId="11" xfId="40" applyFont="1" applyFill="1" applyBorder="1" applyAlignment="1" applyProtection="1">
      <alignment horizontal="center" wrapText="1"/>
      <protection locked="0"/>
    </xf>
    <xf numFmtId="0" fontId="24" fillId="0" borderId="15" xfId="40" applyFont="1" applyFill="1" applyBorder="1" applyAlignment="1" applyProtection="1">
      <alignment horizontal="center" wrapText="1"/>
      <protection locked="0"/>
    </xf>
    <xf numFmtId="0" fontId="24" fillId="0" borderId="12" xfId="40" applyFont="1" applyFill="1" applyBorder="1" applyAlignment="1" applyProtection="1">
      <alignment horizontal="center" wrapText="1"/>
      <protection locked="0"/>
    </xf>
    <xf numFmtId="0" fontId="0" fillId="0" borderId="17" xfId="0" applyBorder="1" applyAlignment="1"/>
    <xf numFmtId="0" fontId="24" fillId="0" borderId="11" xfId="0" applyFont="1" applyFill="1" applyBorder="1" applyAlignment="1" applyProtection="1">
      <alignment horizontal="center" wrapText="1"/>
      <protection locked="0"/>
    </xf>
    <xf numFmtId="0" fontId="24" fillId="0" borderId="14" xfId="0" applyFont="1" applyFill="1" applyBorder="1" applyAlignment="1" applyProtection="1">
      <alignment horizontal="center" wrapText="1"/>
      <protection locked="0"/>
    </xf>
    <xf numFmtId="0" fontId="24" fillId="0" borderId="16" xfId="0" applyFont="1" applyFill="1" applyBorder="1" applyAlignment="1" applyProtection="1">
      <alignment horizontal="center" wrapText="1"/>
      <protection locked="0"/>
    </xf>
    <xf numFmtId="0" fontId="25" fillId="0" borderId="11" xfId="0" applyFont="1" applyFill="1" applyBorder="1" applyAlignment="1" applyProtection="1">
      <alignment wrapText="1"/>
      <protection locked="0"/>
    </xf>
    <xf numFmtId="0" fontId="24" fillId="0" borderId="15" xfId="40" applyFont="1" applyBorder="1" applyAlignment="1" applyProtection="1">
      <alignment horizontal="center" wrapText="1"/>
      <protection locked="0"/>
    </xf>
    <xf numFmtId="0" fontId="25" fillId="0" borderId="11" xfId="0" applyFont="1" applyFill="1" applyBorder="1" applyAlignment="1" applyProtection="1">
      <alignment horizontal="center" wrapText="1"/>
      <protection locked="0"/>
    </xf>
    <xf numFmtId="0" fontId="25" fillId="0" borderId="11" xfId="0" applyFont="1" applyFill="1" applyBorder="1" applyProtection="1">
      <protection locked="0"/>
    </xf>
    <xf numFmtId="0" fontId="24" fillId="0" borderId="40" xfId="40" applyFont="1" applyFill="1" applyBorder="1" applyProtection="1">
      <protection locked="0"/>
    </xf>
    <xf numFmtId="0" fontId="45" fillId="0" borderId="40" xfId="36" applyFont="1" applyFill="1" applyBorder="1" applyAlignment="1" applyProtection="1">
      <protection locked="0"/>
    </xf>
    <xf numFmtId="166" fontId="24" fillId="0" borderId="0" xfId="0" applyNumberFormat="1" applyFont="1"/>
    <xf numFmtId="164" fontId="72" fillId="14" borderId="11" xfId="29" applyNumberFormat="1" applyFont="1" applyFill="1" applyBorder="1" applyAlignment="1" applyProtection="1">
      <alignment horizontal="right"/>
    </xf>
    <xf numFmtId="3" fontId="73" fillId="0" borderId="0" xfId="0" applyNumberFormat="1" applyFont="1"/>
    <xf numFmtId="0" fontId="73" fillId="0" borderId="0" xfId="0" applyFont="1"/>
    <xf numFmtId="3" fontId="74" fillId="0" borderId="0" xfId="0" applyNumberFormat="1" applyFont="1"/>
    <xf numFmtId="0" fontId="24" fillId="0" borderId="17" xfId="0" applyFont="1" applyBorder="1" applyAlignment="1"/>
    <xf numFmtId="0" fontId="24" fillId="0" borderId="0" xfId="0" applyFont="1" applyAlignment="1">
      <alignment horizontal="center"/>
    </xf>
    <xf numFmtId="0" fontId="33" fillId="0" borderId="40" xfId="40" applyFont="1" applyFill="1" applyBorder="1" applyProtection="1">
      <protection locked="0"/>
    </xf>
    <xf numFmtId="0" fontId="25" fillId="0" borderId="11" xfId="0" applyFont="1" applyFill="1" applyBorder="1" applyAlignment="1" applyProtection="1">
      <alignment wrapText="1"/>
      <protection locked="0"/>
    </xf>
    <xf numFmtId="0" fontId="25" fillId="0" borderId="11" xfId="0" applyFont="1" applyFill="1" applyBorder="1" applyProtection="1">
      <protection locked="0"/>
    </xf>
    <xf numFmtId="0" fontId="0" fillId="0" borderId="0" xfId="0" applyAlignment="1">
      <alignment vertical="center"/>
    </xf>
    <xf numFmtId="0" fontId="25" fillId="0" borderId="49" xfId="64" applyFont="1" applyFill="1" applyBorder="1" applyProtection="1">
      <protection locked="0"/>
    </xf>
    <xf numFmtId="0" fontId="25" fillId="0" borderId="49" xfId="64" applyFont="1" applyBorder="1" applyAlignment="1" applyProtection="1">
      <alignment horizontal="left"/>
      <protection locked="0"/>
    </xf>
    <xf numFmtId="0" fontId="25" fillId="0" borderId="49" xfId="64" applyFont="1" applyBorder="1" applyAlignment="1" applyProtection="1">
      <alignment wrapText="1"/>
      <protection locked="0"/>
    </xf>
    <xf numFmtId="0" fontId="25" fillId="0" borderId="48" xfId="76" applyFont="1" applyFill="1" applyBorder="1" applyAlignment="1" applyProtection="1">
      <alignment horizontal="center"/>
      <protection locked="0"/>
    </xf>
    <xf numFmtId="0" fontId="29" fillId="0" borderId="0" xfId="75" applyFont="1" applyFill="1" applyAlignment="1" applyProtection="1">
      <alignment horizontal="left"/>
      <protection locked="0"/>
    </xf>
    <xf numFmtId="0" fontId="29" fillId="0" borderId="0" xfId="75" applyFont="1" applyFill="1" applyProtection="1">
      <protection locked="0"/>
    </xf>
    <xf numFmtId="0" fontId="33" fillId="0" borderId="0" xfId="75" applyFont="1" applyFill="1" applyProtection="1">
      <protection locked="0"/>
    </xf>
    <xf numFmtId="0" fontId="25" fillId="0" borderId="0" xfId="75" applyFont="1" applyFill="1" applyProtection="1">
      <protection locked="0"/>
    </xf>
    <xf numFmtId="0" fontId="24" fillId="0" borderId="0" xfId="75"/>
    <xf numFmtId="0" fontId="24" fillId="0" borderId="0" xfId="69"/>
    <xf numFmtId="0" fontId="24" fillId="0" borderId="0" xfId="75" applyFont="1" applyFill="1" applyProtection="1">
      <protection locked="0"/>
    </xf>
    <xf numFmtId="0" fontId="25" fillId="0" borderId="0" xfId="75" applyFont="1" applyFill="1" applyAlignment="1" applyProtection="1">
      <alignment horizontal="left"/>
      <protection locked="0"/>
    </xf>
    <xf numFmtId="0" fontId="24" fillId="0" borderId="10" xfId="75" applyFont="1" applyFill="1" applyBorder="1" applyProtection="1">
      <protection locked="0"/>
    </xf>
    <xf numFmtId="0" fontId="24" fillId="0" borderId="0" xfId="75" applyFont="1" applyFill="1" applyBorder="1" applyProtection="1">
      <protection locked="0"/>
    </xf>
    <xf numFmtId="0" fontId="33" fillId="0" borderId="0" xfId="75" applyFont="1" applyFill="1" applyBorder="1" applyProtection="1">
      <protection locked="0"/>
    </xf>
    <xf numFmtId="0" fontId="31" fillId="0" borderId="0" xfId="75" applyFont="1" applyFill="1" applyBorder="1" applyProtection="1">
      <protection locked="0"/>
    </xf>
    <xf numFmtId="0" fontId="31" fillId="0" borderId="0" xfId="75" applyFont="1" applyFill="1" applyProtection="1">
      <protection locked="0"/>
    </xf>
    <xf numFmtId="0" fontId="32" fillId="0" borderId="0" xfId="75" applyFont="1" applyFill="1" applyProtection="1">
      <protection locked="0"/>
    </xf>
    <xf numFmtId="0" fontId="24" fillId="0" borderId="0" xfId="75" applyFont="1" applyFill="1" applyBorder="1" applyAlignment="1" applyProtection="1">
      <alignment wrapText="1"/>
      <protection locked="0"/>
    </xf>
    <xf numFmtId="0" fontId="44" fillId="0" borderId="10" xfId="68" applyFill="1" applyBorder="1" applyAlignment="1" applyProtection="1">
      <protection locked="0"/>
    </xf>
    <xf numFmtId="0" fontId="31" fillId="0" borderId="0" xfId="75" applyFont="1" applyFill="1" applyAlignment="1" applyProtection="1">
      <protection locked="0"/>
    </xf>
    <xf numFmtId="0" fontId="24" fillId="0" borderId="0" xfId="75" applyFont="1" applyFill="1" applyAlignment="1" applyProtection="1">
      <alignment wrapText="1"/>
      <protection locked="0"/>
    </xf>
    <xf numFmtId="0" fontId="25" fillId="0" borderId="0" xfId="75" applyFont="1" applyFill="1" applyAlignment="1" applyProtection="1">
      <alignment vertical="top"/>
      <protection locked="0"/>
    </xf>
    <xf numFmtId="0" fontId="24" fillId="0" borderId="0" xfId="61"/>
    <xf numFmtId="0" fontId="24" fillId="0" borderId="0" xfId="61" applyFont="1" applyFill="1" applyProtection="1">
      <protection locked="0"/>
    </xf>
    <xf numFmtId="0" fontId="24" fillId="0" borderId="0" xfId="61" applyFont="1" applyFill="1" applyBorder="1" applyProtection="1">
      <protection locked="0"/>
    </xf>
    <xf numFmtId="0" fontId="24" fillId="0" borderId="0" xfId="61" applyFont="1" applyFill="1" applyAlignment="1" applyProtection="1">
      <alignment horizontal="center"/>
      <protection locked="0"/>
    </xf>
    <xf numFmtId="0" fontId="25" fillId="0" borderId="48" xfId="62" applyFont="1" applyFill="1" applyBorder="1" applyAlignment="1" applyProtection="1">
      <alignment horizontal="center"/>
      <protection locked="0"/>
    </xf>
    <xf numFmtId="0" fontId="25" fillId="0" borderId="48" xfId="61" applyFont="1" applyFill="1" applyBorder="1" applyProtection="1">
      <protection locked="0"/>
    </xf>
    <xf numFmtId="0" fontId="25" fillId="0" borderId="48" xfId="62" applyFont="1" applyFill="1" applyBorder="1" applyProtection="1">
      <protection locked="0"/>
    </xf>
    <xf numFmtId="0" fontId="24" fillId="0" borderId="48" xfId="62" applyFont="1" applyFill="1" applyBorder="1" applyAlignment="1" applyProtection="1">
      <alignment horizontal="center"/>
      <protection locked="0"/>
    </xf>
    <xf numFmtId="0" fontId="24" fillId="0" borderId="48" xfId="61" applyFont="1" applyFill="1" applyBorder="1" applyAlignment="1" applyProtection="1">
      <alignment horizontal="center" wrapText="1"/>
      <protection locked="0"/>
    </xf>
    <xf numFmtId="0" fontId="24" fillId="0" borderId="48" xfId="61" applyFont="1" applyFill="1" applyBorder="1" applyProtection="1">
      <protection locked="0"/>
    </xf>
    <xf numFmtId="0" fontId="35" fillId="0" borderId="48" xfId="62" applyFont="1" applyFill="1" applyBorder="1" applyAlignment="1" applyProtection="1">
      <alignment horizontal="center"/>
      <protection locked="0"/>
    </xf>
    <xf numFmtId="0" fontId="24" fillId="0" borderId="48" xfId="62" applyFont="1" applyFill="1" applyBorder="1" applyAlignment="1" applyProtection="1">
      <alignment horizontal="left" indent="1"/>
      <protection locked="0"/>
    </xf>
    <xf numFmtId="0" fontId="24" fillId="0" borderId="48" xfId="61" applyFont="1" applyFill="1" applyBorder="1" applyAlignment="1" applyProtection="1">
      <alignment horizontal="left" indent="1"/>
      <protection locked="0"/>
    </xf>
    <xf numFmtId="1" fontId="24" fillId="0" borderId="48" xfId="62" applyNumberFormat="1" applyFont="1" applyFill="1" applyBorder="1" applyAlignment="1" applyProtection="1">
      <alignment horizontal="center"/>
      <protection locked="0"/>
    </xf>
    <xf numFmtId="2" fontId="24" fillId="0" borderId="48" xfId="62" applyNumberFormat="1" applyFont="1" applyFill="1" applyBorder="1" applyAlignment="1" applyProtection="1">
      <alignment horizontal="center"/>
      <protection locked="0"/>
    </xf>
    <xf numFmtId="0" fontId="25" fillId="0" borderId="48" xfId="62" applyFont="1" applyFill="1" applyBorder="1" applyAlignment="1" applyProtection="1">
      <protection locked="0"/>
    </xf>
    <xf numFmtId="0" fontId="36" fillId="0" borderId="48" xfId="62" applyFont="1" applyFill="1" applyBorder="1" applyAlignment="1" applyProtection="1">
      <alignment horizontal="center"/>
      <protection locked="0"/>
    </xf>
    <xf numFmtId="0" fontId="25" fillId="0" borderId="48" xfId="61" applyFont="1" applyFill="1" applyBorder="1" applyAlignment="1" applyProtection="1">
      <protection locked="0"/>
    </xf>
    <xf numFmtId="0" fontId="23" fillId="0" borderId="48" xfId="62" applyFont="1" applyFill="1" applyBorder="1" applyAlignment="1" applyProtection="1">
      <alignment horizontal="center" vertical="center"/>
      <protection locked="0"/>
    </xf>
    <xf numFmtId="0" fontId="24" fillId="0" borderId="48" xfId="62" applyFont="1" applyFill="1" applyBorder="1" applyAlignment="1" applyProtection="1">
      <alignment horizontal="left" vertical="center" indent="1"/>
      <protection locked="0"/>
    </xf>
    <xf numFmtId="0" fontId="22" fillId="0" borderId="48" xfId="62" applyFont="1" applyFill="1" applyBorder="1" applyAlignment="1" applyProtection="1">
      <alignment horizontal="center"/>
      <protection locked="0"/>
    </xf>
    <xf numFmtId="0" fontId="25" fillId="0" borderId="48" xfId="62" applyFont="1" applyFill="1" applyBorder="1" applyAlignment="1" applyProtection="1">
      <alignment horizontal="left" wrapText="1"/>
      <protection locked="0"/>
    </xf>
    <xf numFmtId="0" fontId="22" fillId="0" borderId="48" xfId="61" applyFont="1" applyFill="1" applyBorder="1" applyAlignment="1" applyProtection="1">
      <alignment horizontal="center"/>
      <protection locked="0"/>
    </xf>
    <xf numFmtId="0" fontId="23" fillId="0" borderId="48" xfId="61" applyFont="1" applyFill="1" applyBorder="1" applyAlignment="1" applyProtection="1">
      <alignment horizontal="left" vertical="center" indent="1"/>
      <protection locked="0"/>
    </xf>
    <xf numFmtId="0" fontId="24" fillId="0" borderId="48" xfId="61" applyFont="1" applyFill="1" applyBorder="1" applyAlignment="1" applyProtection="1">
      <alignment horizontal="center"/>
      <protection locked="0"/>
    </xf>
    <xf numFmtId="0" fontId="22" fillId="0" borderId="48" xfId="61" applyFont="1" applyFill="1" applyBorder="1" applyProtection="1">
      <protection locked="0"/>
    </xf>
    <xf numFmtId="0" fontId="35" fillId="0" borderId="48" xfId="61" applyFont="1" applyFill="1" applyBorder="1" applyAlignment="1" applyProtection="1">
      <alignment horizontal="center"/>
      <protection locked="0"/>
    </xf>
    <xf numFmtId="0" fontId="23" fillId="0" borderId="48" xfId="61" applyFont="1" applyFill="1" applyBorder="1" applyAlignment="1" applyProtection="1">
      <alignment horizontal="left" indent="1"/>
      <protection locked="0"/>
    </xf>
    <xf numFmtId="0" fontId="22" fillId="0" borderId="48" xfId="61" applyFont="1" applyFill="1" applyBorder="1" applyAlignment="1" applyProtection="1">
      <alignment horizontal="left" indent="1"/>
      <protection locked="0"/>
    </xf>
    <xf numFmtId="0" fontId="25" fillId="0" borderId="48" xfId="61" applyFont="1" applyFill="1" applyBorder="1" applyAlignment="1" applyProtection="1">
      <alignment horizontal="center"/>
      <protection locked="0"/>
    </xf>
    <xf numFmtId="3" fontId="25" fillId="0" borderId="48" xfId="61" applyNumberFormat="1" applyFont="1" applyFill="1" applyBorder="1" applyAlignment="1" applyProtection="1">
      <alignment horizontal="center"/>
      <protection locked="0"/>
    </xf>
    <xf numFmtId="0" fontId="25" fillId="0" borderId="48" xfId="61" applyFont="1" applyFill="1" applyBorder="1" applyAlignment="1" applyProtection="1">
      <alignment wrapText="1"/>
      <protection locked="0"/>
    </xf>
    <xf numFmtId="3" fontId="24" fillId="0" borderId="48" xfId="61" applyNumberFormat="1" applyFont="1" applyFill="1" applyBorder="1" applyAlignment="1" applyProtection="1">
      <alignment horizontal="center"/>
      <protection locked="0"/>
    </xf>
    <xf numFmtId="0" fontId="24" fillId="0" borderId="48" xfId="61" applyFont="1" applyFill="1" applyBorder="1" applyAlignment="1" applyProtection="1">
      <alignment horizontal="left" indent="2"/>
      <protection locked="0"/>
    </xf>
    <xf numFmtId="0" fontId="25" fillId="0" borderId="48" xfId="61" applyFont="1" applyFill="1" applyBorder="1" applyAlignment="1" applyProtection="1">
      <alignment horizontal="center" vertical="center"/>
      <protection locked="0"/>
    </xf>
    <xf numFmtId="0" fontId="25" fillId="0" borderId="48" xfId="61" applyFont="1" applyFill="1" applyBorder="1" applyAlignment="1" applyProtection="1">
      <alignment horizontal="left" indent="1"/>
      <protection locked="0"/>
    </xf>
    <xf numFmtId="0" fontId="36" fillId="0" borderId="48" xfId="61" applyFont="1" applyFill="1" applyBorder="1" applyAlignment="1" applyProtection="1">
      <alignment horizontal="center"/>
      <protection locked="0"/>
    </xf>
    <xf numFmtId="0" fontId="23" fillId="0" borderId="48" xfId="61" applyFont="1" applyFill="1" applyBorder="1" applyAlignment="1" applyProtection="1">
      <alignment horizontal="center"/>
      <protection locked="0"/>
    </xf>
    <xf numFmtId="0" fontId="24" fillId="0" borderId="54" xfId="61" applyFont="1" applyFill="1" applyBorder="1" applyAlignment="1" applyProtection="1">
      <alignment horizontal="center"/>
      <protection locked="0"/>
    </xf>
    <xf numFmtId="0" fontId="23" fillId="0" borderId="48" xfId="61" applyFont="1" applyFill="1" applyBorder="1" applyProtection="1">
      <protection locked="0"/>
    </xf>
    <xf numFmtId="0" fontId="31" fillId="0" borderId="48" xfId="61" applyFont="1" applyFill="1" applyBorder="1" applyAlignment="1" applyProtection="1">
      <alignment horizontal="center"/>
      <protection locked="0"/>
    </xf>
    <xf numFmtId="0" fontId="35" fillId="0" borderId="0" xfId="61" applyFont="1" applyFill="1" applyBorder="1" applyAlignment="1" applyProtection="1">
      <alignment horizontal="center"/>
      <protection locked="0"/>
    </xf>
    <xf numFmtId="0" fontId="24" fillId="0" borderId="13" xfId="61" applyFont="1" applyFill="1" applyBorder="1" applyAlignment="1" applyProtection="1">
      <alignment horizontal="left" indent="1"/>
      <protection locked="0"/>
    </xf>
    <xf numFmtId="0" fontId="24" fillId="0" borderId="0" xfId="61" applyFont="1" applyFill="1" applyBorder="1" applyAlignment="1" applyProtection="1">
      <alignment horizontal="center"/>
      <protection locked="0"/>
    </xf>
    <xf numFmtId="0" fontId="25" fillId="0" borderId="0" xfId="61" applyFont="1" applyFill="1" applyAlignment="1" applyProtection="1">
      <alignment horizontal="center"/>
      <protection locked="0"/>
    </xf>
    <xf numFmtId="0" fontId="25" fillId="0" borderId="13" xfId="61" applyFont="1" applyFill="1" applyBorder="1" applyAlignment="1" applyProtection="1">
      <alignment horizontal="left"/>
      <protection locked="0"/>
    </xf>
    <xf numFmtId="0" fontId="24" fillId="0" borderId="48" xfId="61" applyFont="1" applyFill="1" applyBorder="1" applyAlignment="1" applyProtection="1">
      <alignment horizontal="left" vertical="top"/>
      <protection locked="0"/>
    </xf>
    <xf numFmtId="2" fontId="24" fillId="0" borderId="48" xfId="62" applyNumberFormat="1" applyFont="1" applyFill="1" applyBorder="1" applyAlignment="1" applyProtection="1">
      <alignment horizontal="center"/>
    </xf>
    <xf numFmtId="3" fontId="24" fillId="0" borderId="48" xfId="61" applyNumberFormat="1" applyFont="1" applyFill="1" applyBorder="1" applyAlignment="1" applyProtection="1">
      <alignment horizontal="center"/>
    </xf>
    <xf numFmtId="0" fontId="24" fillId="0" borderId="48" xfId="61" applyFont="1" applyFill="1" applyBorder="1" applyAlignment="1" applyProtection="1">
      <alignment horizontal="center"/>
    </xf>
    <xf numFmtId="0" fontId="24" fillId="0" borderId="48" xfId="61" applyNumberFormat="1" applyFont="1" applyFill="1" applyBorder="1" applyAlignment="1" applyProtection="1">
      <alignment horizontal="center" wrapText="1"/>
    </xf>
    <xf numFmtId="0" fontId="24" fillId="0" borderId="54" xfId="61" applyFont="1" applyFill="1" applyBorder="1" applyAlignment="1" applyProtection="1">
      <alignment horizontal="center"/>
    </xf>
    <xf numFmtId="164" fontId="24" fillId="0" borderId="48" xfId="62" applyNumberFormat="1" applyFont="1" applyFill="1" applyBorder="1" applyAlignment="1" applyProtection="1">
      <alignment horizontal="center"/>
      <protection locked="0"/>
    </xf>
    <xf numFmtId="164" fontId="24" fillId="0" borderId="48" xfId="62" applyNumberFormat="1" applyFont="1" applyFill="1" applyBorder="1" applyAlignment="1" applyProtection="1">
      <protection locked="0"/>
    </xf>
    <xf numFmtId="164" fontId="24" fillId="0" borderId="48" xfId="62" applyNumberFormat="1" applyFont="1" applyFill="1" applyBorder="1" applyAlignment="1" applyProtection="1">
      <alignment horizontal="right"/>
    </xf>
    <xf numFmtId="164" fontId="24" fillId="0" borderId="54" xfId="62" applyNumberFormat="1" applyFont="1" applyFill="1" applyBorder="1" applyAlignment="1" applyProtection="1">
      <alignment horizontal="center"/>
      <protection locked="0"/>
    </xf>
    <xf numFmtId="164" fontId="24" fillId="0" borderId="48" xfId="62" applyNumberFormat="1" applyFont="1" applyFill="1" applyBorder="1" applyAlignment="1" applyProtection="1">
      <alignment horizontal="right"/>
      <protection locked="0"/>
    </xf>
    <xf numFmtId="0" fontId="25" fillId="0" borderId="48" xfId="61" applyFont="1" applyFill="1" applyBorder="1" applyAlignment="1" applyProtection="1">
      <alignment horizontal="center" wrapText="1"/>
      <protection locked="0"/>
    </xf>
    <xf numFmtId="0" fontId="29" fillId="0" borderId="0" xfId="61" applyFont="1" applyFill="1" applyAlignment="1" applyProtection="1">
      <alignment horizontal="left"/>
      <protection locked="0"/>
    </xf>
    <xf numFmtId="0" fontId="29" fillId="0" borderId="0" xfId="61" applyFont="1" applyFill="1" applyProtection="1">
      <protection locked="0"/>
    </xf>
    <xf numFmtId="0" fontId="25" fillId="0" borderId="0" xfId="61" applyFont="1" applyFill="1" applyProtection="1">
      <protection locked="0"/>
    </xf>
    <xf numFmtId="0" fontId="24" fillId="0" borderId="0" xfId="61"/>
    <xf numFmtId="0" fontId="24" fillId="0" borderId="0" xfId="61" applyFont="1" applyFill="1" applyProtection="1">
      <protection locked="0"/>
    </xf>
    <xf numFmtId="0" fontId="25" fillId="0" borderId="0" xfId="61" applyFont="1" applyFill="1" applyAlignment="1" applyProtection="1">
      <alignment horizontal="left"/>
      <protection locked="0"/>
    </xf>
    <xf numFmtId="0" fontId="24" fillId="0" borderId="10" xfId="61" applyFont="1" applyFill="1" applyBorder="1" applyProtection="1">
      <protection locked="0"/>
    </xf>
    <xf numFmtId="0" fontId="24" fillId="0" borderId="0" xfId="61" applyFont="1" applyFill="1" applyBorder="1" applyProtection="1">
      <protection locked="0"/>
    </xf>
    <xf numFmtId="0" fontId="33" fillId="0" borderId="0" xfId="61" applyFont="1" applyFill="1" applyBorder="1" applyProtection="1">
      <protection locked="0"/>
    </xf>
    <xf numFmtId="0" fontId="31" fillId="0" borderId="0" xfId="61" applyFont="1" applyFill="1" applyBorder="1" applyProtection="1">
      <protection locked="0"/>
    </xf>
    <xf numFmtId="0" fontId="31" fillId="0" borderId="0" xfId="61" applyFont="1" applyFill="1" applyProtection="1">
      <protection locked="0"/>
    </xf>
    <xf numFmtId="0" fontId="32" fillId="0" borderId="0" xfId="61" applyFont="1" applyFill="1" applyProtection="1">
      <protection locked="0"/>
    </xf>
    <xf numFmtId="0" fontId="31" fillId="0" borderId="0" xfId="61" applyFont="1" applyFill="1" applyAlignment="1" applyProtection="1">
      <protection locked="0"/>
    </xf>
    <xf numFmtId="0" fontId="24" fillId="0" borderId="0" xfId="61" applyFont="1" applyFill="1" applyAlignment="1" applyProtection="1">
      <alignment wrapText="1"/>
      <protection locked="0"/>
    </xf>
    <xf numFmtId="0" fontId="25" fillId="0" borderId="0" xfId="61" applyFont="1" applyFill="1" applyAlignment="1" applyProtection="1">
      <alignment vertical="top"/>
      <protection locked="0"/>
    </xf>
    <xf numFmtId="0" fontId="24" fillId="0" borderId="0" xfId="61" applyFont="1" applyFill="1" applyBorder="1" applyAlignment="1" applyProtection="1">
      <alignment wrapText="1"/>
      <protection locked="0"/>
    </xf>
    <xf numFmtId="0" fontId="25" fillId="0" borderId="48" xfId="61" applyFont="1" applyFill="1" applyBorder="1" applyAlignment="1" applyProtection="1">
      <alignment horizontal="center" wrapText="1"/>
      <protection locked="0"/>
    </xf>
    <xf numFmtId="0" fontId="25" fillId="0" borderId="48" xfId="61" applyFont="1" applyFill="1" applyBorder="1" applyProtection="1">
      <protection locked="0"/>
    </xf>
    <xf numFmtId="0" fontId="25" fillId="0" borderId="0" xfId="61" applyFont="1" applyFill="1" applyBorder="1" applyProtection="1">
      <protection locked="0"/>
    </xf>
    <xf numFmtId="0" fontId="24" fillId="0" borderId="48" xfId="61" applyFont="1" applyFill="1" applyBorder="1" applyAlignment="1" applyProtection="1">
      <alignment horizontal="center" wrapText="1"/>
      <protection locked="0"/>
    </xf>
    <xf numFmtId="0" fontId="24" fillId="0" borderId="48" xfId="61" applyFont="1" applyFill="1" applyBorder="1" applyProtection="1">
      <protection locked="0"/>
    </xf>
    <xf numFmtId="0" fontId="24" fillId="0" borderId="48" xfId="62" applyFont="1" applyFill="1" applyBorder="1" applyAlignment="1" applyProtection="1">
      <alignment horizontal="left" wrapText="1" indent="1"/>
      <protection locked="0"/>
    </xf>
    <xf numFmtId="0" fontId="24" fillId="0" borderId="48" xfId="61" applyFont="1" applyFill="1" applyBorder="1" applyAlignment="1" applyProtection="1">
      <alignment horizontal="left" wrapText="1" indent="1"/>
      <protection locked="0"/>
    </xf>
    <xf numFmtId="0" fontId="24" fillId="0" borderId="54" xfId="61" applyFont="1" applyFill="1" applyBorder="1" applyAlignment="1" applyProtection="1">
      <alignment horizontal="center" wrapText="1"/>
      <protection locked="0"/>
    </xf>
    <xf numFmtId="0" fontId="24" fillId="0" borderId="56" xfId="61" applyBorder="1" applyAlignment="1" applyProtection="1">
      <alignment horizontal="center" wrapText="1"/>
      <protection locked="0"/>
    </xf>
    <xf numFmtId="0" fontId="25" fillId="0" borderId="48" xfId="62" applyFont="1" applyFill="1" applyBorder="1" applyAlignment="1" applyProtection="1">
      <alignment wrapText="1"/>
      <protection locked="0"/>
    </xf>
    <xf numFmtId="0" fontId="34" fillId="0" borderId="0" xfId="61" applyFont="1" applyFill="1" applyBorder="1" applyAlignment="1" applyProtection="1">
      <alignment wrapText="1"/>
      <protection locked="0"/>
    </xf>
    <xf numFmtId="0" fontId="25" fillId="0" borderId="48" xfId="61" applyFont="1" applyFill="1" applyBorder="1" applyAlignment="1" applyProtection="1">
      <protection locked="0"/>
    </xf>
    <xf numFmtId="164" fontId="24" fillId="0" borderId="48" xfId="29" applyNumberFormat="1" applyFont="1" applyFill="1" applyBorder="1" applyAlignment="1" applyProtection="1"/>
    <xf numFmtId="0" fontId="24" fillId="0" borderId="56" xfId="61" applyFont="1" applyFill="1" applyBorder="1" applyAlignment="1" applyProtection="1">
      <alignment horizontal="center" wrapText="1"/>
      <protection locked="0"/>
    </xf>
    <xf numFmtId="0" fontId="22" fillId="0" borderId="48" xfId="61" applyFont="1" applyFill="1" applyBorder="1" applyAlignment="1" applyProtection="1">
      <alignment horizontal="center"/>
      <protection locked="0"/>
    </xf>
    <xf numFmtId="164" fontId="24" fillId="0" borderId="48" xfId="61" applyNumberFormat="1" applyFont="1" applyFill="1" applyBorder="1" applyAlignment="1" applyProtection="1">
      <alignment horizontal="center"/>
      <protection locked="0"/>
    </xf>
    <xf numFmtId="0" fontId="22" fillId="0" borderId="48" xfId="61" applyFont="1" applyFill="1" applyBorder="1" applyAlignment="1" applyProtection="1">
      <alignment horizontal="center" vertical="center"/>
      <protection locked="0"/>
    </xf>
    <xf numFmtId="0" fontId="25" fillId="0" borderId="48" xfId="61" applyFont="1" applyFill="1" applyBorder="1" applyAlignment="1" applyProtection="1">
      <alignment vertical="center" wrapText="1"/>
      <protection locked="0"/>
    </xf>
    <xf numFmtId="164" fontId="24" fillId="0" borderId="48" xfId="29" applyNumberFormat="1" applyFont="1" applyFill="1" applyBorder="1" applyAlignment="1" applyProtection="1">
      <alignment horizontal="right"/>
    </xf>
    <xf numFmtId="0" fontId="23" fillId="0" borderId="48" xfId="61" applyFont="1" applyFill="1" applyBorder="1" applyAlignment="1" applyProtection="1">
      <alignment horizontal="center" vertical="center"/>
      <protection locked="0"/>
    </xf>
    <xf numFmtId="0" fontId="23" fillId="0" borderId="48" xfId="61" applyFont="1" applyFill="1" applyBorder="1" applyAlignment="1" applyProtection="1">
      <alignment horizontal="left" vertical="center" wrapText="1" indent="1"/>
      <protection locked="0"/>
    </xf>
    <xf numFmtId="0" fontId="35" fillId="0" borderId="48" xfId="61" applyFont="1" applyFill="1" applyBorder="1" applyAlignment="1" applyProtection="1">
      <alignment horizontal="center" vertical="center"/>
      <protection locked="0"/>
    </xf>
    <xf numFmtId="0" fontId="23" fillId="0" borderId="48" xfId="61" applyFont="1" applyFill="1" applyBorder="1" applyAlignment="1" applyProtection="1">
      <alignment horizontal="left" vertical="center" indent="1"/>
      <protection locked="0"/>
    </xf>
    <xf numFmtId="0" fontId="25" fillId="0" borderId="48" xfId="61" applyFont="1" applyFill="1" applyBorder="1" applyAlignment="1" applyProtection="1">
      <alignment vertical="center"/>
      <protection locked="0"/>
    </xf>
    <xf numFmtId="0" fontId="35" fillId="0" borderId="48" xfId="61" applyFont="1" applyFill="1" applyBorder="1" applyAlignment="1" applyProtection="1">
      <alignment horizontal="center"/>
      <protection locked="0"/>
    </xf>
    <xf numFmtId="0" fontId="22" fillId="0" borderId="48" xfId="61" applyFont="1" applyFill="1" applyBorder="1" applyProtection="1">
      <protection locked="0"/>
    </xf>
    <xf numFmtId="0" fontId="23" fillId="0" borderId="48" xfId="61" applyFont="1" applyFill="1" applyBorder="1" applyProtection="1">
      <protection locked="0"/>
    </xf>
    <xf numFmtId="0" fontId="23" fillId="0" borderId="48" xfId="61" applyFont="1" applyFill="1" applyBorder="1" applyAlignment="1" applyProtection="1">
      <alignment horizontal="left" indent="1"/>
      <protection locked="0"/>
    </xf>
    <xf numFmtId="0" fontId="24" fillId="0" borderId="48" xfId="61" applyFont="1" applyFill="1" applyBorder="1" applyAlignment="1" applyProtection="1">
      <alignment horizontal="center"/>
      <protection locked="0"/>
    </xf>
    <xf numFmtId="0" fontId="25" fillId="0" borderId="48" xfId="61" applyFont="1" applyFill="1" applyBorder="1" applyAlignment="1" applyProtection="1">
      <alignment horizontal="center"/>
      <protection locked="0"/>
    </xf>
    <xf numFmtId="0" fontId="22" fillId="0" borderId="48" xfId="61" applyFont="1" applyFill="1" applyBorder="1" applyAlignment="1" applyProtection="1">
      <alignment horizontal="left" indent="1"/>
      <protection locked="0"/>
    </xf>
    <xf numFmtId="0" fontId="25" fillId="0" borderId="48" xfId="61" applyFont="1" applyFill="1" applyBorder="1" applyAlignment="1" applyProtection="1">
      <alignment wrapText="1"/>
      <protection locked="0"/>
    </xf>
    <xf numFmtId="0" fontId="24" fillId="0" borderId="48" xfId="61" applyFont="1" applyFill="1" applyBorder="1" applyAlignment="1" applyProtection="1">
      <alignment wrapText="1"/>
      <protection locked="0"/>
    </xf>
    <xf numFmtId="0" fontId="24" fillId="0" borderId="48" xfId="61" applyFont="1" applyFill="1" applyBorder="1" applyAlignment="1" applyProtection="1">
      <alignment horizontal="left" indent="1"/>
      <protection locked="0"/>
    </xf>
    <xf numFmtId="164" fontId="24" fillId="0" borderId="48" xfId="61" applyNumberFormat="1" applyFont="1" applyFill="1" applyBorder="1" applyAlignment="1" applyProtection="1">
      <alignment horizontal="center" wrapText="1"/>
      <protection locked="0"/>
    </xf>
    <xf numFmtId="0" fontId="24" fillId="0" borderId="55" xfId="61" applyFont="1" applyFill="1" applyBorder="1" applyAlignment="1" applyProtection="1">
      <alignment horizontal="center" wrapText="1"/>
      <protection locked="0"/>
    </xf>
    <xf numFmtId="0" fontId="24" fillId="0" borderId="55" xfId="61" applyFont="1" applyFill="1" applyBorder="1" applyAlignment="1" applyProtection="1">
      <alignment wrapText="1"/>
      <protection locked="0"/>
    </xf>
    <xf numFmtId="164" fontId="24" fillId="0" borderId="48" xfId="61" applyNumberFormat="1" applyFont="1" applyFill="1" applyBorder="1" applyAlignment="1" applyProtection="1">
      <alignment horizontal="center"/>
    </xf>
    <xf numFmtId="164" fontId="5" fillId="14" borderId="48" xfId="29" applyNumberFormat="1" applyFont="1" applyFill="1" applyBorder="1" applyAlignment="1" applyProtection="1">
      <alignment horizontal="right"/>
    </xf>
    <xf numFmtId="0" fontId="34" fillId="0" borderId="0" xfId="61" applyFont="1" applyFill="1" applyBorder="1" applyAlignment="1" applyProtection="1">
      <alignment wrapText="1"/>
      <protection locked="0"/>
    </xf>
    <xf numFmtId="0" fontId="32" fillId="0" borderId="48" xfId="61" applyFont="1" applyFill="1" applyBorder="1" applyProtection="1">
      <protection locked="0"/>
    </xf>
    <xf numFmtId="0" fontId="25" fillId="0" borderId="0" xfId="61" applyFont="1" applyFill="1" applyBorder="1" applyProtection="1">
      <protection locked="0"/>
    </xf>
    <xf numFmtId="0" fontId="24" fillId="0" borderId="55" xfId="61" applyFont="1" applyFill="1" applyBorder="1" applyAlignment="1" applyProtection="1">
      <alignment horizontal="center" wrapText="1"/>
      <protection locked="0"/>
    </xf>
    <xf numFmtId="0" fontId="24" fillId="0" borderId="0" xfId="61" applyFont="1" applyFill="1" applyBorder="1" applyAlignment="1" applyProtection="1">
      <alignment wrapText="1"/>
      <protection locked="0"/>
    </xf>
    <xf numFmtId="0" fontId="24" fillId="0" borderId="16" xfId="61" applyFont="1" applyFill="1" applyBorder="1" applyAlignment="1" applyProtection="1">
      <alignment horizontal="center" wrapText="1"/>
      <protection locked="0"/>
    </xf>
    <xf numFmtId="0" fontId="25" fillId="0" borderId="48" xfId="61" applyFont="1" applyFill="1" applyBorder="1" applyAlignment="1" applyProtection="1">
      <alignment horizontal="left" wrapText="1" indent="1"/>
      <protection locked="0"/>
    </xf>
    <xf numFmtId="0" fontId="24" fillId="0" borderId="57" xfId="61" applyBorder="1" applyAlignment="1"/>
    <xf numFmtId="0" fontId="34" fillId="0" borderId="0" xfId="61" applyFont="1" applyFill="1" applyBorder="1" applyAlignment="1" applyProtection="1">
      <alignment horizontal="center" wrapText="1"/>
      <protection locked="0"/>
    </xf>
    <xf numFmtId="0" fontId="22" fillId="0" borderId="54" xfId="61" applyFont="1" applyFill="1" applyBorder="1" applyAlignment="1" applyProtection="1">
      <alignment horizontal="left" vertical="top"/>
      <protection locked="0"/>
    </xf>
    <xf numFmtId="0" fontId="24" fillId="0" borderId="56" xfId="61" applyBorder="1" applyAlignment="1"/>
    <xf numFmtId="0" fontId="24" fillId="0" borderId="0" xfId="61" applyFont="1" applyFill="1" applyBorder="1" applyAlignment="1" applyProtection="1">
      <alignment horizontal="center" wrapText="1"/>
      <protection locked="0"/>
    </xf>
    <xf numFmtId="0" fontId="23" fillId="0" borderId="16" xfId="61" applyFont="1" applyFill="1" applyBorder="1" applyProtection="1">
      <protection locked="0"/>
    </xf>
    <xf numFmtId="0" fontId="24" fillId="0" borderId="18" xfId="61" applyFont="1" applyFill="1" applyBorder="1" applyAlignment="1" applyProtection="1">
      <alignment horizontal="center"/>
      <protection locked="0"/>
    </xf>
    <xf numFmtId="0" fontId="24" fillId="0" borderId="19" xfId="61" applyFont="1" applyFill="1" applyBorder="1" applyAlignment="1" applyProtection="1">
      <alignment horizontal="center"/>
      <protection locked="0"/>
    </xf>
    <xf numFmtId="0" fontId="24" fillId="0" borderId="0" xfId="61" applyBorder="1"/>
    <xf numFmtId="0" fontId="24" fillId="0" borderId="58" xfId="61" applyFont="1" applyFill="1" applyBorder="1" applyAlignment="1" applyProtection="1">
      <alignment horizontal="center"/>
      <protection locked="0"/>
    </xf>
    <xf numFmtId="0" fontId="24" fillId="0" borderId="19" xfId="61" applyBorder="1" applyAlignment="1"/>
    <xf numFmtId="0" fontId="24" fillId="0" borderId="0" xfId="61" applyBorder="1" applyAlignment="1"/>
    <xf numFmtId="0" fontId="22" fillId="0" borderId="48" xfId="61" applyFont="1" applyFill="1" applyBorder="1" applyAlignment="1" applyProtection="1">
      <alignment horizontal="left" vertical="top" wrapText="1"/>
      <protection locked="0"/>
    </xf>
    <xf numFmtId="0" fontId="24" fillId="0" borderId="59" xfId="61" applyFont="1" applyFill="1" applyBorder="1" applyAlignment="1" applyProtection="1">
      <alignment horizontal="center"/>
      <protection locked="0"/>
    </xf>
    <xf numFmtId="0" fontId="24" fillId="0" borderId="56" xfId="61" applyFont="1" applyFill="1" applyBorder="1" applyAlignment="1" applyProtection="1">
      <alignment horizontal="center"/>
      <protection locked="0"/>
    </xf>
    <xf numFmtId="0" fontId="24" fillId="0" borderId="22" xfId="61" applyBorder="1"/>
    <xf numFmtId="0" fontId="24" fillId="0" borderId="23" xfId="61" applyBorder="1"/>
    <xf numFmtId="0" fontId="31" fillId="0" borderId="0" xfId="61" applyFont="1" applyFill="1" applyBorder="1" applyAlignment="1" applyProtection="1">
      <alignment horizontal="center"/>
      <protection locked="0"/>
    </xf>
    <xf numFmtId="0" fontId="24" fillId="0" borderId="0" xfId="61" applyFont="1" applyFill="1" applyBorder="1" applyAlignment="1" applyProtection="1">
      <alignment horizontal="center"/>
    </xf>
    <xf numFmtId="0" fontId="24" fillId="0" borderId="22" xfId="61" applyFont="1" applyFill="1" applyBorder="1" applyAlignment="1" applyProtection="1">
      <alignment horizontal="center"/>
      <protection locked="0"/>
    </xf>
    <xf numFmtId="0" fontId="24" fillId="0" borderId="23" xfId="61" applyFont="1" applyFill="1" applyBorder="1" applyAlignment="1" applyProtection="1">
      <alignment horizontal="center"/>
      <protection locked="0"/>
    </xf>
    <xf numFmtId="0" fontId="41" fillId="0" borderId="0" xfId="61" applyFont="1" applyFill="1" applyAlignment="1" applyProtection="1">
      <alignment horizontal="center"/>
      <protection locked="0"/>
    </xf>
    <xf numFmtId="0" fontId="25" fillId="0" borderId="18" xfId="61" applyFont="1" applyFill="1" applyBorder="1" applyAlignment="1" applyProtection="1">
      <alignment horizontal="center"/>
      <protection locked="0"/>
    </xf>
    <xf numFmtId="0" fontId="25" fillId="0" borderId="24" xfId="61" applyFont="1" applyFill="1" applyBorder="1" applyAlignment="1" applyProtection="1">
      <alignment horizontal="center"/>
      <protection locked="0"/>
    </xf>
    <xf numFmtId="0" fontId="25" fillId="0" borderId="0" xfId="61" applyFont="1" applyFill="1" applyBorder="1" applyAlignment="1" applyProtection="1">
      <alignment horizontal="left"/>
      <protection locked="0"/>
    </xf>
    <xf numFmtId="0" fontId="24" fillId="0" borderId="48" xfId="61" applyFont="1" applyFill="1" applyBorder="1" applyAlignment="1" applyProtection="1">
      <alignment horizontal="left" wrapText="1" indent="2"/>
      <protection locked="0"/>
    </xf>
    <xf numFmtId="0" fontId="25" fillId="0" borderId="22" xfId="61" applyFont="1" applyFill="1" applyBorder="1" applyAlignment="1" applyProtection="1">
      <alignment horizontal="left" indent="2"/>
      <protection locked="0"/>
    </xf>
    <xf numFmtId="0" fontId="25" fillId="0" borderId="0" xfId="61" applyFont="1" applyFill="1" applyBorder="1" applyAlignment="1" applyProtection="1">
      <alignment horizontal="left" indent="2"/>
      <protection locked="0"/>
    </xf>
    <xf numFmtId="0" fontId="24" fillId="0" borderId="48" xfId="61" applyFont="1" applyFill="1" applyBorder="1" applyAlignment="1" applyProtection="1">
      <alignment horizontal="left" wrapText="1" indent="1"/>
      <protection locked="0"/>
    </xf>
    <xf numFmtId="0" fontId="24" fillId="0" borderId="55" xfId="61" applyBorder="1"/>
    <xf numFmtId="0" fontId="25" fillId="0" borderId="13" xfId="61" applyFont="1" applyFill="1" applyBorder="1" applyAlignment="1" applyProtection="1">
      <alignment horizontal="center"/>
      <protection locked="0"/>
    </xf>
    <xf numFmtId="0" fontId="25" fillId="0" borderId="16" xfId="61" applyFont="1" applyFill="1" applyBorder="1" applyAlignment="1" applyProtection="1">
      <alignment horizontal="center"/>
      <protection locked="0"/>
    </xf>
    <xf numFmtId="0" fontId="35" fillId="0" borderId="54" xfId="61" applyFont="1" applyFill="1" applyBorder="1" applyAlignment="1" applyProtection="1">
      <alignment horizontal="center"/>
      <protection locked="0"/>
    </xf>
    <xf numFmtId="0" fontId="24" fillId="0" borderId="57" xfId="61" applyFont="1" applyFill="1" applyBorder="1" applyAlignment="1" applyProtection="1">
      <alignment horizontal="left" wrapText="1" indent="2"/>
      <protection locked="0"/>
    </xf>
    <xf numFmtId="0" fontId="25" fillId="0" borderId="22" xfId="61" applyFont="1" applyFill="1" applyBorder="1" applyAlignment="1" applyProtection="1">
      <alignment horizontal="center" wrapText="1"/>
      <protection locked="0"/>
    </xf>
    <xf numFmtId="0" fontId="33" fillId="0" borderId="0" xfId="61" applyFont="1" applyFill="1" applyProtection="1">
      <protection locked="0"/>
    </xf>
    <xf numFmtId="0" fontId="44" fillId="0" borderId="10" xfId="60" applyFill="1" applyBorder="1" applyAlignment="1" applyProtection="1">
      <protection locked="0"/>
    </xf>
    <xf numFmtId="0" fontId="44" fillId="0" borderId="0" xfId="60" applyAlignment="1" applyProtection="1"/>
    <xf numFmtId="0" fontId="25" fillId="0" borderId="48" xfId="75" applyFont="1" applyFill="1" applyBorder="1" applyAlignment="1" applyProtection="1">
      <alignment horizontal="center" wrapText="1"/>
      <protection locked="0"/>
    </xf>
    <xf numFmtId="0" fontId="25" fillId="0" borderId="48" xfId="75" applyFont="1" applyFill="1" applyBorder="1" applyProtection="1">
      <protection locked="0"/>
    </xf>
    <xf numFmtId="0" fontId="25" fillId="0" borderId="0" xfId="75" applyFont="1" applyFill="1" applyBorder="1" applyProtection="1">
      <protection locked="0"/>
    </xf>
    <xf numFmtId="0" fontId="25" fillId="0" borderId="48" xfId="76" applyFont="1" applyFill="1" applyBorder="1" applyProtection="1">
      <protection locked="0"/>
    </xf>
    <xf numFmtId="0" fontId="24" fillId="0" borderId="48" xfId="76" applyFont="1" applyFill="1" applyBorder="1" applyAlignment="1" applyProtection="1">
      <alignment horizontal="center"/>
      <protection locked="0"/>
    </xf>
    <xf numFmtId="0" fontId="24" fillId="0" borderId="48" xfId="75" applyFont="1" applyFill="1" applyBorder="1" applyAlignment="1" applyProtection="1">
      <alignment horizontal="center" wrapText="1"/>
      <protection locked="0"/>
    </xf>
    <xf numFmtId="0" fontId="24" fillId="0" borderId="48" xfId="75" applyFont="1" applyFill="1" applyBorder="1" applyProtection="1">
      <protection locked="0"/>
    </xf>
    <xf numFmtId="0" fontId="35" fillId="0" borderId="48" xfId="76" applyFont="1" applyFill="1" applyBorder="1" applyAlignment="1" applyProtection="1">
      <alignment horizontal="center"/>
      <protection locked="0"/>
    </xf>
    <xf numFmtId="0" fontId="24" fillId="0" borderId="48" xfId="76" applyFont="1" applyFill="1" applyBorder="1" applyAlignment="1" applyProtection="1">
      <alignment horizontal="left" wrapText="1" indent="1"/>
      <protection locked="0"/>
    </xf>
    <xf numFmtId="0" fontId="24" fillId="0" borderId="48" xfId="75" applyFont="1" applyFill="1" applyBorder="1" applyAlignment="1" applyProtection="1">
      <alignment horizontal="left" wrapText="1" indent="1"/>
      <protection locked="0"/>
    </xf>
    <xf numFmtId="1" fontId="24" fillId="0" borderId="48" xfId="76" applyNumberFormat="1" applyFont="1" applyFill="1" applyBorder="1" applyAlignment="1" applyProtection="1">
      <alignment horizontal="center"/>
      <protection locked="0"/>
    </xf>
    <xf numFmtId="2" fontId="24" fillId="0" borderId="48" xfId="76" applyNumberFormat="1" applyFont="1" applyFill="1" applyBorder="1" applyAlignment="1" applyProtection="1">
      <alignment horizontal="center"/>
    </xf>
    <xf numFmtId="0" fontId="24" fillId="0" borderId="48" xfId="76" applyFont="1" applyFill="1" applyBorder="1" applyAlignment="1" applyProtection="1">
      <alignment horizontal="left" indent="1"/>
      <protection locked="0"/>
    </xf>
    <xf numFmtId="2" fontId="24" fillId="0" borderId="48" xfId="76" applyNumberFormat="1" applyFont="1" applyFill="1" applyBorder="1" applyAlignment="1" applyProtection="1">
      <alignment horizontal="center"/>
      <protection locked="0"/>
    </xf>
    <xf numFmtId="0" fontId="24" fillId="0" borderId="56" xfId="75" applyBorder="1" applyAlignment="1" applyProtection="1">
      <alignment horizontal="center" wrapText="1"/>
      <protection locked="0"/>
    </xf>
    <xf numFmtId="0" fontId="24" fillId="0" borderId="54" xfId="75" applyFont="1" applyFill="1" applyBorder="1" applyAlignment="1" applyProtection="1">
      <alignment horizontal="center" wrapText="1"/>
      <protection locked="0"/>
    </xf>
    <xf numFmtId="0" fontId="25" fillId="0" borderId="48" xfId="76" applyFont="1" applyFill="1" applyBorder="1" applyAlignment="1" applyProtection="1">
      <protection locked="0"/>
    </xf>
    <xf numFmtId="0" fontId="25" fillId="0" borderId="48" xfId="76" applyFont="1" applyFill="1" applyBorder="1" applyAlignment="1" applyProtection="1">
      <alignment wrapText="1"/>
      <protection locked="0"/>
    </xf>
    <xf numFmtId="0" fontId="36" fillId="0" borderId="48" xfId="76" applyFont="1" applyFill="1" applyBorder="1" applyAlignment="1" applyProtection="1">
      <alignment horizontal="center"/>
      <protection locked="0"/>
    </xf>
    <xf numFmtId="0" fontId="34" fillId="0" borderId="0" xfId="75" applyFont="1" applyFill="1" applyBorder="1" applyAlignment="1" applyProtection="1">
      <alignment wrapText="1"/>
      <protection locked="0"/>
    </xf>
    <xf numFmtId="0" fontId="25" fillId="0" borderId="48" xfId="75" applyFont="1" applyFill="1" applyBorder="1" applyAlignment="1" applyProtection="1">
      <protection locked="0"/>
    </xf>
    <xf numFmtId="164" fontId="24" fillId="0" borderId="48" xfId="76" applyNumberFormat="1" applyFont="1" applyFill="1" applyBorder="1" applyAlignment="1" applyProtection="1">
      <alignment horizontal="center"/>
      <protection locked="0"/>
    </xf>
    <xf numFmtId="164" fontId="24" fillId="0" borderId="48" xfId="76" applyNumberFormat="1" applyFont="1" applyFill="1" applyBorder="1" applyAlignment="1" applyProtection="1">
      <alignment horizontal="right"/>
      <protection locked="0"/>
    </xf>
    <xf numFmtId="0" fontId="23" fillId="0" borderId="48" xfId="76" applyFont="1" applyFill="1" applyBorder="1" applyAlignment="1" applyProtection="1">
      <alignment horizontal="center" vertical="center"/>
      <protection locked="0"/>
    </xf>
    <xf numFmtId="0" fontId="24" fillId="0" borderId="48" xfId="76" applyFont="1" applyFill="1" applyBorder="1" applyAlignment="1" applyProtection="1">
      <alignment horizontal="left" vertical="center" indent="1"/>
      <protection locked="0"/>
    </xf>
    <xf numFmtId="0" fontId="22" fillId="0" borderId="48" xfId="76" applyFont="1" applyFill="1" applyBorder="1" applyAlignment="1" applyProtection="1">
      <alignment horizontal="center"/>
      <protection locked="0"/>
    </xf>
    <xf numFmtId="0" fontId="25" fillId="0" borderId="48" xfId="76" applyFont="1" applyFill="1" applyBorder="1" applyAlignment="1" applyProtection="1">
      <alignment horizontal="left" wrapText="1"/>
      <protection locked="0"/>
    </xf>
    <xf numFmtId="164" fontId="24" fillId="0" borderId="48" xfId="76" applyNumberFormat="1" applyFont="1" applyFill="1" applyBorder="1" applyAlignment="1" applyProtection="1">
      <protection locked="0"/>
    </xf>
    <xf numFmtId="0" fontId="24" fillId="0" borderId="56" xfId="75" applyFont="1" applyFill="1" applyBorder="1" applyAlignment="1" applyProtection="1">
      <alignment horizontal="center" wrapText="1"/>
      <protection locked="0"/>
    </xf>
    <xf numFmtId="0" fontId="22" fillId="0" borderId="48" xfId="75" applyFont="1" applyFill="1" applyBorder="1" applyAlignment="1" applyProtection="1">
      <alignment horizontal="center"/>
      <protection locked="0"/>
    </xf>
    <xf numFmtId="164" fontId="24" fillId="0" borderId="48" xfId="75" applyNumberFormat="1" applyFont="1" applyFill="1" applyBorder="1" applyAlignment="1" applyProtection="1">
      <alignment horizontal="center"/>
      <protection locked="0"/>
    </xf>
    <xf numFmtId="0" fontId="22" fillId="0" borderId="48" xfId="75" applyFont="1" applyFill="1" applyBorder="1" applyAlignment="1" applyProtection="1">
      <alignment horizontal="center" vertical="center"/>
      <protection locked="0"/>
    </xf>
    <xf numFmtId="0" fontId="25" fillId="0" borderId="48" xfId="75" applyFont="1" applyFill="1" applyBorder="1" applyAlignment="1" applyProtection="1">
      <alignment vertical="center" wrapText="1"/>
      <protection locked="0"/>
    </xf>
    <xf numFmtId="0" fontId="23" fillId="0" borderId="48" xfId="75" applyFont="1" applyFill="1" applyBorder="1" applyAlignment="1" applyProtection="1">
      <alignment horizontal="center" vertical="center"/>
      <protection locked="0"/>
    </xf>
    <xf numFmtId="0" fontId="23" fillId="0" borderId="48" xfId="75" applyFont="1" applyFill="1" applyBorder="1" applyAlignment="1" applyProtection="1">
      <alignment horizontal="left" vertical="center" wrapText="1" indent="1"/>
      <protection locked="0"/>
    </xf>
    <xf numFmtId="164" fontId="24" fillId="0" borderId="48" xfId="76" applyNumberFormat="1" applyFont="1" applyFill="1" applyBorder="1" applyAlignment="1" applyProtection="1">
      <alignment horizontal="right"/>
    </xf>
    <xf numFmtId="0" fontId="35" fillId="0" borderId="48" xfId="75" applyFont="1" applyFill="1" applyBorder="1" applyAlignment="1" applyProtection="1">
      <alignment horizontal="center" vertical="center"/>
      <protection locked="0"/>
    </xf>
    <xf numFmtId="0" fontId="23" fillId="0" borderId="48" xfId="75" applyFont="1" applyFill="1" applyBorder="1" applyAlignment="1" applyProtection="1">
      <alignment horizontal="left" vertical="center" indent="1"/>
      <protection locked="0"/>
    </xf>
    <xf numFmtId="0" fontId="25" fillId="0" borderId="48" xfId="75" applyFont="1" applyFill="1" applyBorder="1" applyAlignment="1" applyProtection="1">
      <alignment vertical="center"/>
      <protection locked="0"/>
    </xf>
    <xf numFmtId="0" fontId="35" fillId="0" borderId="48" xfId="75" applyFont="1" applyFill="1" applyBorder="1" applyAlignment="1" applyProtection="1">
      <alignment horizontal="center"/>
      <protection locked="0"/>
    </xf>
    <xf numFmtId="0" fontId="22" fillId="0" borderId="48" xfId="75" applyFont="1" applyFill="1" applyBorder="1" applyProtection="1">
      <protection locked="0"/>
    </xf>
    <xf numFmtId="0" fontId="23" fillId="0" borderId="48" xfId="75" applyFont="1" applyFill="1" applyBorder="1" applyProtection="1">
      <protection locked="0"/>
    </xf>
    <xf numFmtId="0" fontId="23" fillId="0" borderId="48" xfId="75" applyFont="1" applyFill="1" applyBorder="1" applyAlignment="1" applyProtection="1">
      <alignment horizontal="left" indent="1"/>
      <protection locked="0"/>
    </xf>
    <xf numFmtId="0" fontId="24" fillId="0" borderId="48" xfId="75" applyFont="1" applyFill="1" applyBorder="1" applyAlignment="1" applyProtection="1">
      <alignment horizontal="center"/>
      <protection locked="0"/>
    </xf>
    <xf numFmtId="0" fontId="25" fillId="0" borderId="48" xfId="75" applyFont="1" applyFill="1" applyBorder="1" applyAlignment="1" applyProtection="1">
      <alignment horizontal="center"/>
      <protection locked="0"/>
    </xf>
    <xf numFmtId="164" fontId="24" fillId="0" borderId="54" xfId="76" applyNumberFormat="1" applyFont="1" applyFill="1" applyBorder="1" applyAlignment="1" applyProtection="1">
      <alignment horizontal="center"/>
      <protection locked="0"/>
    </xf>
    <xf numFmtId="0" fontId="22" fillId="0" borderId="48" xfId="75" applyFont="1" applyFill="1" applyBorder="1" applyAlignment="1" applyProtection="1">
      <alignment horizontal="left" indent="1"/>
      <protection locked="0"/>
    </xf>
    <xf numFmtId="0" fontId="25" fillId="0" borderId="48" xfId="75" applyFont="1" applyFill="1" applyBorder="1" applyAlignment="1" applyProtection="1">
      <alignment wrapText="1"/>
      <protection locked="0"/>
    </xf>
    <xf numFmtId="0" fontId="24" fillId="0" borderId="48" xfId="75" applyFont="1" applyFill="1" applyBorder="1" applyAlignment="1" applyProtection="1">
      <alignment wrapText="1"/>
      <protection locked="0"/>
    </xf>
    <xf numFmtId="0" fontId="24" fillId="0" borderId="48" xfId="75" applyFont="1" applyFill="1" applyBorder="1" applyAlignment="1" applyProtection="1">
      <alignment horizontal="left" indent="1"/>
      <protection locked="0"/>
    </xf>
    <xf numFmtId="164" fontId="24" fillId="0" borderId="48" xfId="75" applyNumberFormat="1" applyFont="1" applyFill="1" applyBorder="1" applyAlignment="1" applyProtection="1">
      <alignment horizontal="center" wrapText="1"/>
      <protection locked="0"/>
    </xf>
    <xf numFmtId="0" fontId="24" fillId="0" borderId="55" xfId="75" applyFont="1" applyFill="1" applyBorder="1" applyAlignment="1" applyProtection="1">
      <alignment horizontal="center" wrapText="1"/>
      <protection locked="0"/>
    </xf>
    <xf numFmtId="0" fontId="24" fillId="0" borderId="55" xfId="75" applyFont="1" applyFill="1" applyBorder="1" applyAlignment="1" applyProtection="1">
      <alignment wrapText="1"/>
      <protection locked="0"/>
    </xf>
    <xf numFmtId="164" fontId="24" fillId="0" borderId="48" xfId="75" applyNumberFormat="1" applyFont="1" applyFill="1" applyBorder="1" applyAlignment="1" applyProtection="1">
      <alignment horizontal="center"/>
    </xf>
    <xf numFmtId="0" fontId="34" fillId="0" borderId="0" xfId="69" applyFont="1" applyFill="1" applyBorder="1" applyAlignment="1" applyProtection="1">
      <alignment wrapText="1"/>
      <protection locked="0"/>
    </xf>
    <xf numFmtId="0" fontId="25" fillId="0" borderId="48" xfId="69" applyFont="1" applyFill="1" applyBorder="1" applyAlignment="1" applyProtection="1">
      <alignment horizontal="center"/>
      <protection locked="0"/>
    </xf>
    <xf numFmtId="3" fontId="25" fillId="0" borderId="48" xfId="69" applyNumberFormat="1" applyFont="1" applyFill="1" applyBorder="1" applyAlignment="1" applyProtection="1">
      <alignment horizontal="center"/>
      <protection locked="0"/>
    </xf>
    <xf numFmtId="0" fontId="32" fillId="0" borderId="48" xfId="69" applyFont="1" applyFill="1" applyBorder="1" applyProtection="1">
      <protection locked="0"/>
    </xf>
    <xf numFmtId="0" fontId="25" fillId="0" borderId="0" xfId="69" applyFont="1" applyFill="1" applyBorder="1" applyProtection="1">
      <protection locked="0"/>
    </xf>
    <xf numFmtId="0" fontId="24" fillId="0" borderId="55" xfId="69" applyFont="1" applyFill="1" applyBorder="1" applyAlignment="1" applyProtection="1">
      <alignment horizontal="center" wrapText="1"/>
      <protection locked="0"/>
    </xf>
    <xf numFmtId="0" fontId="24" fillId="0" borderId="0" xfId="69" applyFont="1" applyFill="1" applyBorder="1" applyAlignment="1" applyProtection="1">
      <alignment wrapText="1"/>
      <protection locked="0"/>
    </xf>
    <xf numFmtId="0" fontId="24" fillId="0" borderId="16" xfId="69" applyFont="1" applyFill="1" applyBorder="1" applyAlignment="1" applyProtection="1">
      <alignment horizontal="center" wrapText="1"/>
      <protection locked="0"/>
    </xf>
    <xf numFmtId="0" fontId="25" fillId="0" borderId="48" xfId="69" applyFont="1" applyFill="1" applyBorder="1" applyProtection="1">
      <protection locked="0"/>
    </xf>
    <xf numFmtId="3" fontId="24" fillId="0" borderId="48" xfId="69" applyNumberFormat="1" applyFont="1" applyFill="1" applyBorder="1" applyAlignment="1" applyProtection="1">
      <alignment horizontal="center"/>
    </xf>
    <xf numFmtId="3" fontId="24" fillId="0" borderId="48" xfId="69" applyNumberFormat="1" applyFont="1" applyFill="1" applyBorder="1" applyAlignment="1" applyProtection="1">
      <alignment horizontal="center"/>
      <protection locked="0"/>
    </xf>
    <xf numFmtId="0" fontId="24" fillId="0" borderId="48" xfId="69" applyFont="1" applyFill="1" applyBorder="1" applyProtection="1">
      <protection locked="0"/>
    </xf>
    <xf numFmtId="0" fontId="24" fillId="0" borderId="0" xfId="69" applyFont="1" applyFill="1" applyBorder="1" applyProtection="1">
      <protection locked="0"/>
    </xf>
    <xf numFmtId="0" fontId="24" fillId="0" borderId="48" xfId="69" applyFont="1" applyFill="1" applyBorder="1" applyAlignment="1" applyProtection="1">
      <alignment horizontal="center"/>
      <protection locked="0"/>
    </xf>
    <xf numFmtId="0" fontId="24" fillId="0" borderId="48" xfId="69" applyFont="1" applyFill="1" applyBorder="1" applyAlignment="1" applyProtection="1">
      <alignment horizontal="left" indent="1"/>
      <protection locked="0"/>
    </xf>
    <xf numFmtId="0" fontId="24" fillId="0" borderId="48" xfId="69" applyFont="1" applyFill="1" applyBorder="1" applyAlignment="1" applyProtection="1">
      <alignment horizontal="left" indent="2"/>
      <protection locked="0"/>
    </xf>
    <xf numFmtId="0" fontId="35" fillId="0" borderId="48" xfId="69" applyFont="1" applyFill="1" applyBorder="1" applyAlignment="1" applyProtection="1">
      <alignment horizontal="center"/>
      <protection locked="0"/>
    </xf>
    <xf numFmtId="0" fontId="24" fillId="0" borderId="48" xfId="69" applyFont="1" applyFill="1" applyBorder="1" applyAlignment="1" applyProtection="1">
      <alignment horizontal="center"/>
    </xf>
    <xf numFmtId="0" fontId="25" fillId="0" borderId="48" xfId="69" applyFont="1" applyFill="1" applyBorder="1" applyAlignment="1" applyProtection="1">
      <protection locked="0"/>
    </xf>
    <xf numFmtId="0" fontId="25" fillId="0" borderId="48" xfId="69" applyFont="1" applyFill="1" applyBorder="1" applyAlignment="1" applyProtection="1">
      <alignment horizontal="center" vertical="center"/>
      <protection locked="0"/>
    </xf>
    <xf numFmtId="0" fontId="25" fillId="0" borderId="48" xfId="69" applyFont="1" applyFill="1" applyBorder="1" applyAlignment="1" applyProtection="1">
      <alignment wrapText="1"/>
      <protection locked="0"/>
    </xf>
    <xf numFmtId="0" fontId="25" fillId="0" borderId="48" xfId="69" applyFont="1" applyFill="1" applyBorder="1" applyAlignment="1" applyProtection="1">
      <alignment horizontal="left" wrapText="1" indent="1"/>
      <protection locked="0"/>
    </xf>
    <xf numFmtId="0" fontId="23" fillId="0" borderId="48" xfId="69" applyFont="1" applyFill="1" applyBorder="1" applyAlignment="1" applyProtection="1">
      <alignment horizontal="left" vertical="center" indent="1"/>
      <protection locked="0"/>
    </xf>
    <xf numFmtId="0" fontId="22" fillId="0" borderId="48" xfId="69" applyFont="1" applyFill="1" applyBorder="1" applyAlignment="1" applyProtection="1">
      <alignment horizontal="left" indent="1"/>
      <protection locked="0"/>
    </xf>
    <xf numFmtId="0" fontId="25" fillId="0" borderId="48" xfId="69" applyFont="1" applyFill="1" applyBorder="1" applyAlignment="1" applyProtection="1">
      <alignment horizontal="left" indent="1"/>
      <protection locked="0"/>
    </xf>
    <xf numFmtId="0" fontId="36" fillId="0" borderId="48" xfId="69" applyFont="1" applyFill="1" applyBorder="1" applyAlignment="1" applyProtection="1">
      <alignment horizontal="center"/>
      <protection locked="0"/>
    </xf>
    <xf numFmtId="3" fontId="44" fillId="0" borderId="48" xfId="68" applyNumberFormat="1" applyFont="1" applyFill="1" applyBorder="1" applyAlignment="1" applyProtection="1">
      <alignment horizontal="center"/>
      <protection locked="0"/>
    </xf>
    <xf numFmtId="0" fontId="34" fillId="0" borderId="0" xfId="69" applyFont="1" applyFill="1" applyBorder="1" applyAlignment="1" applyProtection="1">
      <alignment horizontal="center" wrapText="1"/>
      <protection locked="0"/>
    </xf>
    <xf numFmtId="3" fontId="24" fillId="0" borderId="48" xfId="69" applyNumberFormat="1" applyFont="1" applyFill="1" applyBorder="1" applyAlignment="1" applyProtection="1">
      <alignment horizontal="center" wrapText="1"/>
    </xf>
    <xf numFmtId="3" fontId="24" fillId="0" borderId="48" xfId="69" applyNumberFormat="1" applyFont="1" applyFill="1" applyBorder="1" applyAlignment="1" applyProtection="1">
      <alignment horizontal="center" wrapText="1"/>
      <protection locked="0"/>
    </xf>
    <xf numFmtId="0" fontId="21" fillId="0" borderId="0" xfId="69" applyFont="1" applyAlignment="1">
      <alignment wrapText="1"/>
    </xf>
    <xf numFmtId="0" fontId="24" fillId="0" borderId="48" xfId="69" applyFont="1" applyFill="1" applyBorder="1" applyAlignment="1" applyProtection="1">
      <alignment horizontal="center" wrapText="1"/>
      <protection locked="0"/>
    </xf>
    <xf numFmtId="0" fontId="22" fillId="0" borderId="48" xfId="69" applyFont="1" applyFill="1" applyBorder="1" applyProtection="1">
      <protection locked="0"/>
    </xf>
    <xf numFmtId="0" fontId="23" fillId="0" borderId="48" xfId="69" applyFont="1" applyFill="1" applyBorder="1" applyAlignment="1" applyProtection="1">
      <alignment horizontal="left" indent="1"/>
      <protection locked="0"/>
    </xf>
    <xf numFmtId="0" fontId="23" fillId="0" borderId="48" xfId="69" applyFont="1" applyFill="1" applyBorder="1" applyProtection="1">
      <protection locked="0"/>
    </xf>
    <xf numFmtId="0" fontId="22" fillId="0" borderId="48" xfId="69" applyFont="1" applyFill="1" applyBorder="1" applyAlignment="1" applyProtection="1">
      <alignment horizontal="center"/>
      <protection locked="0"/>
    </xf>
    <xf numFmtId="0" fontId="23" fillId="0" borderId="48" xfId="69" applyFont="1" applyFill="1" applyBorder="1" applyAlignment="1" applyProtection="1">
      <alignment horizontal="center"/>
      <protection locked="0"/>
    </xf>
    <xf numFmtId="0" fontId="22" fillId="0" borderId="54" xfId="69" applyFont="1" applyFill="1" applyBorder="1" applyAlignment="1" applyProtection="1">
      <alignment horizontal="left" vertical="top"/>
      <protection locked="0"/>
    </xf>
    <xf numFmtId="0" fontId="24" fillId="0" borderId="57" xfId="69" applyBorder="1" applyAlignment="1"/>
    <xf numFmtId="0" fontId="24" fillId="0" borderId="56" xfId="69" applyBorder="1" applyAlignment="1"/>
    <xf numFmtId="0" fontId="24" fillId="0" borderId="0" xfId="69" applyFont="1" applyFill="1" applyBorder="1" applyAlignment="1" applyProtection="1">
      <alignment horizontal="center" wrapText="1"/>
      <protection locked="0"/>
    </xf>
    <xf numFmtId="0" fontId="23" fillId="0" borderId="16" xfId="69" applyFont="1" applyFill="1" applyBorder="1" applyProtection="1">
      <protection locked="0"/>
    </xf>
    <xf numFmtId="3" fontId="24" fillId="0" borderId="18" xfId="69" applyNumberFormat="1" applyFont="1" applyFill="1" applyBorder="1" applyAlignment="1" applyProtection="1">
      <alignment horizontal="center"/>
      <protection locked="0"/>
    </xf>
    <xf numFmtId="0" fontId="24" fillId="0" borderId="19" xfId="69" applyFont="1" applyFill="1" applyBorder="1" applyAlignment="1" applyProtection="1">
      <alignment horizontal="center"/>
      <protection locked="0"/>
    </xf>
    <xf numFmtId="0" fontId="24" fillId="0" borderId="0" xfId="69" applyFont="1" applyFill="1" applyBorder="1" applyAlignment="1" applyProtection="1">
      <alignment horizontal="center"/>
      <protection locked="0"/>
    </xf>
    <xf numFmtId="0" fontId="24" fillId="0" borderId="0" xfId="69" applyBorder="1"/>
    <xf numFmtId="3" fontId="24" fillId="0" borderId="58" xfId="69" applyNumberFormat="1" applyFont="1" applyFill="1" applyBorder="1" applyAlignment="1" applyProtection="1">
      <alignment horizontal="center"/>
      <protection locked="0"/>
    </xf>
    <xf numFmtId="3" fontId="24" fillId="0" borderId="54" xfId="69" applyNumberFormat="1" applyFont="1" applyFill="1" applyBorder="1" applyAlignment="1" applyProtection="1">
      <alignment horizontal="center"/>
    </xf>
    <xf numFmtId="0" fontId="24" fillId="0" borderId="19" xfId="69" applyBorder="1" applyAlignment="1"/>
    <xf numFmtId="0" fontId="24" fillId="0" borderId="0" xfId="69" applyBorder="1" applyAlignment="1"/>
    <xf numFmtId="3" fontId="24" fillId="0" borderId="54" xfId="69" applyNumberFormat="1" applyFont="1" applyFill="1" applyBorder="1" applyAlignment="1" applyProtection="1">
      <alignment horizontal="center"/>
      <protection locked="0"/>
    </xf>
    <xf numFmtId="0" fontId="24" fillId="0" borderId="54" xfId="69" applyFont="1" applyFill="1" applyBorder="1" applyAlignment="1" applyProtection="1">
      <alignment horizontal="center"/>
    </xf>
    <xf numFmtId="0" fontId="24" fillId="0" borderId="54" xfId="69" applyFont="1" applyFill="1" applyBorder="1" applyAlignment="1" applyProtection="1">
      <alignment horizontal="center"/>
      <protection locked="0"/>
    </xf>
    <xf numFmtId="0" fontId="22" fillId="0" borderId="48" xfId="69" applyFont="1" applyFill="1" applyBorder="1" applyAlignment="1" applyProtection="1">
      <alignment horizontal="left" vertical="top" wrapText="1"/>
      <protection locked="0"/>
    </xf>
    <xf numFmtId="0" fontId="24" fillId="0" borderId="59" xfId="69" applyFont="1" applyFill="1" applyBorder="1" applyAlignment="1" applyProtection="1">
      <alignment horizontal="center"/>
      <protection locked="0"/>
    </xf>
    <xf numFmtId="0" fontId="24" fillId="0" borderId="56" xfId="69" applyFont="1" applyFill="1" applyBorder="1" applyAlignment="1" applyProtection="1">
      <alignment horizontal="center"/>
      <protection locked="0"/>
    </xf>
    <xf numFmtId="0" fontId="24" fillId="0" borderId="22" xfId="69" applyBorder="1"/>
    <xf numFmtId="0" fontId="24" fillId="0" borderId="23" xfId="69" applyBorder="1"/>
    <xf numFmtId="0" fontId="31" fillId="0" borderId="48" xfId="69" applyFont="1" applyFill="1" applyBorder="1" applyAlignment="1" applyProtection="1">
      <alignment horizontal="center"/>
      <protection locked="0"/>
    </xf>
    <xf numFmtId="0" fontId="31" fillId="0" borderId="0" xfId="69" applyFont="1" applyFill="1" applyBorder="1" applyAlignment="1" applyProtection="1">
      <alignment horizontal="center"/>
      <protection locked="0"/>
    </xf>
    <xf numFmtId="0" fontId="24" fillId="0" borderId="0" xfId="69" applyFont="1" applyFill="1" applyBorder="1" applyAlignment="1" applyProtection="1">
      <alignment horizontal="center"/>
    </xf>
    <xf numFmtId="0" fontId="35" fillId="0" borderId="0" xfId="69" applyFont="1" applyFill="1" applyBorder="1" applyAlignment="1" applyProtection="1">
      <alignment horizontal="center"/>
      <protection locked="0"/>
    </xf>
    <xf numFmtId="0" fontId="24" fillId="0" borderId="13" xfId="69" applyFont="1" applyFill="1" applyBorder="1" applyAlignment="1" applyProtection="1">
      <alignment horizontal="left" indent="1"/>
      <protection locked="0"/>
    </xf>
    <xf numFmtId="0" fontId="24" fillId="0" borderId="22" xfId="69" applyFont="1" applyFill="1" applyBorder="1" applyAlignment="1" applyProtection="1">
      <alignment horizontal="center"/>
      <protection locked="0"/>
    </xf>
    <xf numFmtId="0" fontId="24" fillId="0" borderId="23" xfId="69" applyFont="1" applyFill="1" applyBorder="1" applyAlignment="1" applyProtection="1">
      <alignment horizontal="center"/>
      <protection locked="0"/>
    </xf>
    <xf numFmtId="0" fontId="24" fillId="0" borderId="48" xfId="69" applyFont="1" applyFill="1" applyBorder="1" applyAlignment="1" applyProtection="1">
      <alignment horizontal="left" vertical="top"/>
      <protection locked="0"/>
    </xf>
    <xf numFmtId="0" fontId="41" fillId="0" borderId="0" xfId="69" applyFont="1" applyFill="1" applyAlignment="1" applyProtection="1">
      <alignment horizontal="center"/>
      <protection locked="0"/>
    </xf>
    <xf numFmtId="0" fontId="25" fillId="0" borderId="13" xfId="69" applyFont="1" applyFill="1" applyBorder="1" applyAlignment="1" applyProtection="1">
      <alignment horizontal="left"/>
      <protection locked="0"/>
    </xf>
    <xf numFmtId="0" fontId="25" fillId="0" borderId="0" xfId="69" applyFont="1" applyFill="1" applyAlignment="1" applyProtection="1">
      <alignment horizontal="center"/>
      <protection locked="0"/>
    </xf>
    <xf numFmtId="0" fontId="25" fillId="0" borderId="18" xfId="69" applyFont="1" applyFill="1" applyBorder="1" applyAlignment="1" applyProtection="1">
      <alignment horizontal="center"/>
      <protection locked="0"/>
    </xf>
    <xf numFmtId="0" fontId="25" fillId="0" borderId="24" xfId="69" applyFont="1" applyFill="1" applyBorder="1" applyAlignment="1" applyProtection="1">
      <alignment horizontal="center"/>
      <protection locked="0"/>
    </xf>
    <xf numFmtId="0" fontId="25" fillId="0" borderId="0" xfId="69" applyFont="1" applyFill="1" applyBorder="1" applyAlignment="1" applyProtection="1">
      <alignment horizontal="left"/>
      <protection locked="0"/>
    </xf>
    <xf numFmtId="0" fontId="24" fillId="0" borderId="0" xfId="69" applyFont="1" applyFill="1" applyAlignment="1" applyProtection="1">
      <alignment horizontal="center"/>
      <protection locked="0"/>
    </xf>
    <xf numFmtId="0" fontId="24" fillId="0" borderId="0" xfId="69" applyFont="1" applyFill="1" applyProtection="1">
      <protection locked="0"/>
    </xf>
    <xf numFmtId="0" fontId="24" fillId="0" borderId="48" xfId="69" applyFont="1" applyFill="1" applyBorder="1" applyAlignment="1" applyProtection="1">
      <alignment horizontal="left" wrapText="1" indent="2"/>
      <protection locked="0"/>
    </xf>
    <xf numFmtId="0" fontId="25" fillId="0" borderId="22" xfId="69" applyFont="1" applyFill="1" applyBorder="1" applyAlignment="1" applyProtection="1">
      <alignment horizontal="left" indent="2"/>
      <protection locked="0"/>
    </xf>
    <xf numFmtId="0" fontId="25" fillId="0" borderId="0" xfId="69" applyFont="1" applyFill="1" applyBorder="1" applyAlignment="1" applyProtection="1">
      <alignment horizontal="left" indent="2"/>
      <protection locked="0"/>
    </xf>
    <xf numFmtId="0" fontId="24" fillId="0" borderId="48" xfId="69" applyFont="1" applyFill="1" applyBorder="1" applyAlignment="1" applyProtection="1">
      <alignment horizontal="left" wrapText="1" indent="1"/>
      <protection locked="0"/>
    </xf>
    <xf numFmtId="0" fontId="24" fillId="0" borderId="55" xfId="69" applyFont="1" applyBorder="1"/>
    <xf numFmtId="3" fontId="25" fillId="0" borderId="13" xfId="69" applyNumberFormat="1" applyFont="1" applyFill="1" applyBorder="1" applyAlignment="1" applyProtection="1">
      <alignment horizontal="center"/>
      <protection locked="0"/>
    </xf>
    <xf numFmtId="0" fontId="25" fillId="0" borderId="13" xfId="69" applyFont="1" applyFill="1" applyBorder="1" applyAlignment="1" applyProtection="1">
      <alignment horizontal="center"/>
      <protection locked="0"/>
    </xf>
    <xf numFmtId="0" fontId="25" fillId="0" borderId="16" xfId="69" applyFont="1" applyFill="1" applyBorder="1" applyAlignment="1" applyProtection="1">
      <alignment horizontal="center"/>
      <protection locked="0"/>
    </xf>
    <xf numFmtId="0" fontId="35" fillId="0" borderId="54" xfId="69" applyFont="1" applyFill="1" applyBorder="1" applyAlignment="1" applyProtection="1">
      <alignment horizontal="center"/>
      <protection locked="0"/>
    </xf>
    <xf numFmtId="0" fontId="24" fillId="0" borderId="57" xfId="69" applyFont="1" applyFill="1" applyBorder="1" applyAlignment="1" applyProtection="1">
      <alignment horizontal="left" wrapText="1" indent="2"/>
      <protection locked="0"/>
    </xf>
    <xf numFmtId="0" fontId="25" fillId="0" borderId="48" xfId="69" applyFont="1" applyFill="1" applyBorder="1" applyAlignment="1" applyProtection="1">
      <alignment horizontal="center" wrapText="1"/>
      <protection locked="0"/>
    </xf>
    <xf numFmtId="0" fontId="25" fillId="0" borderId="22" xfId="69" applyFont="1" applyFill="1" applyBorder="1" applyAlignment="1" applyProtection="1">
      <alignment horizontal="center" wrapText="1"/>
      <protection locked="0"/>
    </xf>
    <xf numFmtId="0" fontId="42" fillId="0" borderId="0" xfId="69" applyFont="1"/>
    <xf numFmtId="0" fontId="2" fillId="0" borderId="0" xfId="77"/>
    <xf numFmtId="0" fontId="24" fillId="0" borderId="19" xfId="64" applyFont="1" applyBorder="1" applyProtection="1">
      <protection locked="0"/>
    </xf>
    <xf numFmtId="0" fontId="25" fillId="0" borderId="49" xfId="64" applyFont="1" applyBorder="1" applyProtection="1">
      <protection locked="0"/>
    </xf>
    <xf numFmtId="170" fontId="24" fillId="0" borderId="41" xfId="64" applyNumberFormat="1" applyFont="1" applyBorder="1" applyAlignment="1" applyProtection="1">
      <alignment horizontal="center"/>
      <protection locked="0"/>
    </xf>
    <xf numFmtId="170" fontId="35" fillId="0" borderId="45" xfId="64" applyNumberFormat="1" applyFont="1" applyBorder="1" applyAlignment="1" applyProtection="1">
      <alignment horizontal="center"/>
      <protection locked="0"/>
    </xf>
    <xf numFmtId="170" fontId="35" fillId="0" borderId="41" xfId="64" applyNumberFormat="1" applyFont="1" applyBorder="1" applyAlignment="1" applyProtection="1">
      <alignment horizontal="center"/>
      <protection locked="0"/>
    </xf>
    <xf numFmtId="170" fontId="24" fillId="0" borderId="47" xfId="64" applyNumberFormat="1" applyFont="1" applyBorder="1" applyAlignment="1" applyProtection="1">
      <alignment horizontal="center"/>
      <protection locked="0"/>
    </xf>
    <xf numFmtId="170" fontId="41" fillId="0" borderId="46" xfId="64" applyNumberFormat="1" applyFont="1" applyBorder="1" applyAlignment="1" applyProtection="1">
      <alignment horizontal="center"/>
      <protection locked="0"/>
    </xf>
    <xf numFmtId="0" fontId="41" fillId="0" borderId="46" xfId="64" applyNumberFormat="1" applyFont="1" applyBorder="1" applyAlignment="1" applyProtection="1">
      <alignment horizontal="center"/>
      <protection locked="0"/>
    </xf>
    <xf numFmtId="0" fontId="0" fillId="0" borderId="46" xfId="0" applyBorder="1" applyAlignment="1">
      <alignment horizontal="center"/>
    </xf>
    <xf numFmtId="0" fontId="24" fillId="28" borderId="42" xfId="64" applyFont="1" applyFill="1" applyBorder="1" applyAlignment="1" applyProtection="1">
      <alignment vertical="center" wrapText="1"/>
      <protection locked="0"/>
    </xf>
    <xf numFmtId="0" fontId="25" fillId="28" borderId="42" xfId="64" applyFont="1" applyFill="1" applyBorder="1" applyAlignment="1" applyProtection="1">
      <alignment vertical="center" wrapText="1"/>
      <protection locked="0"/>
    </xf>
    <xf numFmtId="0" fontId="24" fillId="28" borderId="43" xfId="64" applyFont="1" applyFill="1" applyBorder="1" applyAlignment="1" applyProtection="1">
      <alignment vertical="center" wrapText="1"/>
      <protection locked="0"/>
    </xf>
    <xf numFmtId="0" fontId="32" fillId="28" borderId="42" xfId="64" applyFont="1" applyFill="1" applyBorder="1" applyAlignment="1" applyProtection="1">
      <alignment vertical="center" wrapText="1"/>
      <protection locked="0"/>
    </xf>
    <xf numFmtId="0" fontId="25" fillId="28" borderId="44" xfId="64" applyFont="1" applyFill="1" applyBorder="1" applyAlignment="1" applyProtection="1">
      <alignment vertical="center" wrapText="1"/>
      <protection locked="0"/>
    </xf>
    <xf numFmtId="0" fontId="24" fillId="28" borderId="42" xfId="64" applyFont="1" applyFill="1" applyBorder="1" applyAlignment="1" applyProtection="1">
      <alignment horizontal="left" vertical="center" wrapText="1"/>
      <protection locked="0"/>
    </xf>
    <xf numFmtId="166" fontId="0" fillId="0" borderId="0" xfId="0" applyNumberFormat="1" applyBorder="1"/>
    <xf numFmtId="170" fontId="35" fillId="0" borderId="46" xfId="64" applyNumberFormat="1" applyFont="1" applyBorder="1" applyAlignment="1" applyProtection="1">
      <alignment horizontal="center"/>
      <protection locked="0"/>
    </xf>
    <xf numFmtId="170" fontId="24" fillId="0" borderId="46" xfId="64" applyNumberFormat="1" applyFont="1" applyBorder="1" applyAlignment="1" applyProtection="1">
      <alignment horizontal="center"/>
      <protection locked="0"/>
    </xf>
    <xf numFmtId="170" fontId="24" fillId="0" borderId="45" xfId="64" applyNumberFormat="1" applyFont="1" applyBorder="1" applyAlignment="1" applyProtection="1">
      <alignment horizontal="center"/>
      <protection locked="0"/>
    </xf>
    <xf numFmtId="170" fontId="25" fillId="0" borderId="46" xfId="64" applyNumberFormat="1" applyFont="1" applyBorder="1" applyAlignment="1" applyProtection="1">
      <alignment horizontal="center"/>
      <protection locked="0"/>
    </xf>
    <xf numFmtId="170" fontId="51" fillId="0" borderId="46" xfId="64" applyNumberFormat="1" applyFont="1" applyBorder="1" applyAlignment="1" applyProtection="1">
      <alignment horizontal="center"/>
      <protection locked="0"/>
    </xf>
    <xf numFmtId="0" fontId="63" fillId="0" borderId="22" xfId="0" applyFont="1" applyBorder="1" applyAlignment="1">
      <alignment wrapText="1"/>
    </xf>
    <xf numFmtId="0" fontId="0" fillId="0" borderId="0" xfId="0" applyAlignment="1"/>
    <xf numFmtId="0" fontId="25" fillId="0" borderId="11" xfId="0" applyFont="1" applyFill="1" applyBorder="1" applyProtection="1">
      <protection locked="0"/>
    </xf>
    <xf numFmtId="0" fontId="0" fillId="0" borderId="0" xfId="0" applyAlignment="1">
      <alignment vertical="center" wrapText="1"/>
    </xf>
    <xf numFmtId="0" fontId="35" fillId="0" borderId="48" xfId="0" applyFont="1" applyFill="1" applyBorder="1" applyAlignment="1" applyProtection="1">
      <alignment horizontal="center"/>
      <protection locked="0"/>
    </xf>
    <xf numFmtId="0" fontId="24" fillId="0" borderId="48" xfId="0" applyFont="1" applyFill="1" applyBorder="1" applyAlignment="1" applyProtection="1">
      <alignment horizontal="left" indent="1"/>
      <protection locked="0"/>
    </xf>
    <xf numFmtId="168" fontId="24" fillId="0" borderId="54" xfId="28" applyNumberFormat="1" applyFont="1" applyFill="1" applyBorder="1" applyAlignment="1" applyProtection="1">
      <alignment horizontal="right"/>
      <protection locked="0"/>
    </xf>
    <xf numFmtId="168" fontId="24" fillId="0" borderId="48" xfId="0" applyNumberFormat="1" applyFont="1" applyFill="1" applyBorder="1" applyAlignment="1" applyProtection="1">
      <alignment horizontal="right"/>
    </xf>
    <xf numFmtId="0" fontId="25" fillId="28" borderId="42" xfId="64" applyFont="1" applyFill="1" applyBorder="1" applyAlignment="1" applyProtection="1">
      <alignment horizontal="left" vertical="center" wrapText="1"/>
      <protection locked="0"/>
    </xf>
    <xf numFmtId="0" fontId="25" fillId="28" borderId="43" xfId="64" applyFont="1" applyFill="1" applyBorder="1" applyAlignment="1" applyProtection="1">
      <alignment vertical="center" wrapText="1"/>
      <protection locked="0"/>
    </xf>
    <xf numFmtId="0" fontId="0" fillId="30" borderId="61" xfId="0" applyFill="1" applyBorder="1" applyAlignment="1">
      <alignment vertical="center" wrapText="1"/>
    </xf>
    <xf numFmtId="0" fontId="25" fillId="29" borderId="16" xfId="62" applyFont="1" applyFill="1" applyBorder="1" applyAlignment="1" applyProtection="1">
      <alignment vertical="center" wrapText="1"/>
      <protection locked="0"/>
    </xf>
    <xf numFmtId="0" fontId="25" fillId="29" borderId="16" xfId="61" applyFont="1" applyFill="1" applyBorder="1" applyAlignment="1" applyProtection="1">
      <alignment horizontal="left" vertical="center" wrapText="1"/>
      <protection locked="0"/>
    </xf>
    <xf numFmtId="0" fontId="25" fillId="32" borderId="61" xfId="0" applyFont="1" applyFill="1" applyBorder="1" applyAlignment="1">
      <alignment vertical="center" wrapText="1"/>
    </xf>
    <xf numFmtId="0" fontId="24" fillId="0" borderId="62" xfId="64" applyFont="1" applyBorder="1" applyAlignment="1" applyProtection="1">
      <alignment horizontal="left"/>
      <protection locked="0"/>
    </xf>
    <xf numFmtId="0" fontId="0" fillId="34" borderId="64" xfId="0" applyFill="1" applyBorder="1"/>
    <xf numFmtId="0" fontId="0" fillId="0" borderId="64" xfId="0" applyBorder="1"/>
    <xf numFmtId="0" fontId="0" fillId="30" borderId="66" xfId="0" applyNumberFormat="1" applyFill="1" applyBorder="1" applyAlignment="1">
      <alignment vertical="center" wrapText="1"/>
    </xf>
    <xf numFmtId="0" fontId="24" fillId="27" borderId="60" xfId="64" applyFont="1" applyFill="1" applyBorder="1" applyAlignment="1" applyProtection="1">
      <alignment vertical="center"/>
      <protection locked="0"/>
    </xf>
    <xf numFmtId="3" fontId="24" fillId="0" borderId="0" xfId="0" applyNumberFormat="1" applyFont="1" applyAlignment="1">
      <alignment horizontal="center" wrapText="1"/>
    </xf>
    <xf numFmtId="171" fontId="24" fillId="39" borderId="63" xfId="64" applyNumberFormat="1" applyFont="1" applyFill="1" applyBorder="1" applyAlignment="1" applyProtection="1">
      <alignment horizontal="right"/>
    </xf>
    <xf numFmtId="166" fontId="24" fillId="39" borderId="63" xfId="64" applyNumberFormat="1" applyFont="1" applyFill="1" applyBorder="1" applyAlignment="1" applyProtection="1">
      <alignment horizontal="right"/>
    </xf>
    <xf numFmtId="166" fontId="0" fillId="39" borderId="65" xfId="0" applyNumberFormat="1" applyFill="1" applyBorder="1"/>
    <xf numFmtId="166" fontId="0" fillId="39" borderId="64" xfId="0" applyNumberFormat="1" applyFill="1" applyBorder="1"/>
    <xf numFmtId="3" fontId="0" fillId="39" borderId="65" xfId="0" applyNumberFormat="1" applyFill="1" applyBorder="1"/>
    <xf numFmtId="3" fontId="24" fillId="39" borderId="63" xfId="64" applyNumberFormat="1" applyFont="1" applyFill="1" applyBorder="1" applyAlignment="1" applyProtection="1">
      <alignment horizontal="right"/>
    </xf>
    <xf numFmtId="3" fontId="0" fillId="39" borderId="64" xfId="0" applyNumberFormat="1" applyFill="1" applyBorder="1"/>
    <xf numFmtId="3" fontId="24" fillId="39" borderId="67" xfId="64" applyNumberFormat="1" applyFont="1" applyFill="1" applyBorder="1" applyAlignment="1" applyProtection="1">
      <alignment horizontal="right"/>
    </xf>
    <xf numFmtId="0" fontId="0" fillId="0" borderId="64" xfId="0" applyFill="1" applyBorder="1"/>
    <xf numFmtId="3" fontId="24" fillId="24" borderId="63" xfId="64" applyNumberFormat="1" applyFont="1" applyFill="1" applyBorder="1" applyAlignment="1" applyProtection="1">
      <alignment horizontal="right"/>
    </xf>
    <xf numFmtId="3" fontId="24" fillId="24" borderId="67" xfId="64" applyNumberFormat="1" applyFont="1" applyFill="1" applyBorder="1" applyAlignment="1" applyProtection="1">
      <alignment horizontal="right"/>
    </xf>
    <xf numFmtId="3" fontId="0" fillId="0" borderId="68" xfId="0" applyNumberFormat="1" applyBorder="1"/>
    <xf numFmtId="3" fontId="0" fillId="0" borderId="68" xfId="0" applyNumberFormat="1" applyBorder="1" applyAlignment="1">
      <alignment horizontal="right"/>
    </xf>
    <xf numFmtId="3" fontId="24" fillId="0" borderId="69" xfId="0" applyNumberFormat="1" applyFont="1" applyBorder="1" applyAlignment="1">
      <alignment horizontal="center"/>
    </xf>
    <xf numFmtId="3" fontId="0" fillId="0" borderId="70" xfId="0" applyNumberFormat="1" applyBorder="1"/>
    <xf numFmtId="0" fontId="48" fillId="37" borderId="62" xfId="64" applyFont="1" applyFill="1" applyBorder="1" applyAlignment="1" applyProtection="1">
      <alignment horizontal="right" vertical="center"/>
      <protection locked="0"/>
    </xf>
    <xf numFmtId="164" fontId="24" fillId="0" borderId="71" xfId="62" applyNumberFormat="1" applyFont="1" applyFill="1" applyBorder="1" applyAlignment="1" applyProtection="1">
      <alignment horizontal="right"/>
    </xf>
    <xf numFmtId="166" fontId="24" fillId="39" borderId="72" xfId="64" applyNumberFormat="1" applyFont="1" applyFill="1" applyBorder="1" applyAlignment="1" applyProtection="1">
      <alignment horizontal="right"/>
    </xf>
    <xf numFmtId="164" fontId="24" fillId="0" borderId="71" xfId="62" applyNumberFormat="1" applyFont="1" applyFill="1" applyBorder="1" applyAlignment="1" applyProtection="1">
      <alignment horizontal="right"/>
      <protection locked="0"/>
    </xf>
    <xf numFmtId="164" fontId="24" fillId="0" borderId="71" xfId="62" applyNumberFormat="1" applyFont="1" applyFill="1" applyBorder="1" applyAlignment="1" applyProtection="1"/>
    <xf numFmtId="166" fontId="24" fillId="39" borderId="67" xfId="64" applyNumberFormat="1" applyFont="1" applyFill="1" applyBorder="1" applyAlignment="1" applyProtection="1">
      <alignment horizontal="right"/>
    </xf>
    <xf numFmtId="9" fontId="24" fillId="39" borderId="63" xfId="64" applyNumberFormat="1" applyFont="1" applyFill="1" applyBorder="1" applyAlignment="1" applyProtection="1">
      <alignment horizontal="right"/>
    </xf>
    <xf numFmtId="166" fontId="0" fillId="0" borderId="71" xfId="0" applyNumberFormat="1" applyBorder="1"/>
    <xf numFmtId="166" fontId="75" fillId="39" borderId="69" xfId="0" applyNumberFormat="1" applyFont="1" applyFill="1" applyBorder="1"/>
    <xf numFmtId="3" fontId="0" fillId="0" borderId="71" xfId="0" applyNumberFormat="1" applyBorder="1"/>
    <xf numFmtId="0" fontId="25" fillId="0" borderId="64" xfId="0" applyFont="1" applyFill="1" applyBorder="1" applyAlignment="1">
      <alignment horizontal="right" vertical="center"/>
    </xf>
    <xf numFmtId="0" fontId="0" fillId="0" borderId="71" xfId="0" applyBorder="1"/>
    <xf numFmtId="164" fontId="24" fillId="0" borderId="0" xfId="40" applyNumberFormat="1" applyFont="1" applyFill="1" applyBorder="1" applyProtection="1">
      <protection locked="0"/>
    </xf>
    <xf numFmtId="0" fontId="0" fillId="32" borderId="44" xfId="0" applyFill="1" applyBorder="1" applyAlignment="1">
      <alignment vertical="center"/>
    </xf>
    <xf numFmtId="0" fontId="0" fillId="0" borderId="46" xfId="0" applyBorder="1"/>
    <xf numFmtId="1" fontId="0" fillId="0" borderId="0" xfId="0" applyNumberFormat="1" applyBorder="1"/>
    <xf numFmtId="2" fontId="0" fillId="0" borderId="0" xfId="0" applyNumberFormat="1" applyBorder="1"/>
    <xf numFmtId="9" fontId="0" fillId="0" borderId="0" xfId="0" applyNumberFormat="1" applyBorder="1"/>
    <xf numFmtId="3" fontId="0" fillId="0" borderId="0" xfId="0" applyNumberFormat="1" applyBorder="1"/>
    <xf numFmtId="166" fontId="0" fillId="0" borderId="0" xfId="0" applyNumberFormat="1" applyBorder="1" applyAlignment="1">
      <alignment horizontal="center"/>
    </xf>
    <xf numFmtId="166" fontId="0" fillId="0" borderId="0" xfId="0" applyNumberFormat="1" applyBorder="1" applyAlignment="1">
      <alignment horizontal="right"/>
    </xf>
    <xf numFmtId="3" fontId="0" fillId="0" borderId="0" xfId="0" applyNumberFormat="1" applyBorder="1" applyAlignment="1">
      <alignment horizontal="right"/>
    </xf>
    <xf numFmtId="166" fontId="24" fillId="0" borderId="0" xfId="0" applyNumberFormat="1" applyFont="1" applyBorder="1" applyAlignment="1">
      <alignment horizontal="center"/>
    </xf>
    <xf numFmtId="3" fontId="24" fillId="0" borderId="0" xfId="0" applyNumberFormat="1" applyFont="1" applyBorder="1" applyAlignment="1">
      <alignment horizontal="right"/>
    </xf>
    <xf numFmtId="0" fontId="0" fillId="0" borderId="0" xfId="0" applyBorder="1" applyAlignment="1">
      <alignment horizontal="center"/>
    </xf>
    <xf numFmtId="0" fontId="24" fillId="0" borderId="71" xfId="0" applyFont="1" applyBorder="1" applyAlignment="1">
      <alignment horizontal="center"/>
    </xf>
    <xf numFmtId="166" fontId="24" fillId="0" borderId="71" xfId="0" applyNumberFormat="1" applyFont="1" applyBorder="1" applyAlignment="1">
      <alignment horizontal="center"/>
    </xf>
    <xf numFmtId="172" fontId="24" fillId="0" borderId="71" xfId="64" applyNumberFormat="1" applyFont="1" applyFill="1" applyBorder="1" applyAlignment="1" applyProtection="1">
      <alignment horizontal="right"/>
      <protection locked="0"/>
    </xf>
    <xf numFmtId="3" fontId="24" fillId="0" borderId="71" xfId="0" applyNumberFormat="1" applyFont="1" applyBorder="1" applyAlignment="1">
      <alignment horizontal="center"/>
    </xf>
    <xf numFmtId="170" fontId="24" fillId="0" borderId="73" xfId="64" applyNumberFormat="1" applyFont="1" applyBorder="1" applyAlignment="1" applyProtection="1">
      <alignment horizontal="center"/>
      <protection locked="0"/>
    </xf>
    <xf numFmtId="3" fontId="0" fillId="0" borderId="74" xfId="0" applyNumberFormat="1" applyBorder="1"/>
    <xf numFmtId="3" fontId="0" fillId="0" borderId="74" xfId="0" applyNumberFormat="1" applyBorder="1" applyAlignment="1">
      <alignment horizontal="right"/>
    </xf>
    <xf numFmtId="3" fontId="24" fillId="0" borderId="75" xfId="0" applyNumberFormat="1" applyFont="1" applyBorder="1" applyAlignment="1">
      <alignment horizontal="center"/>
    </xf>
    <xf numFmtId="171" fontId="24" fillId="39" borderId="64" xfId="64" applyNumberFormat="1" applyFont="1" applyFill="1" applyBorder="1" applyAlignment="1" applyProtection="1">
      <alignment horizontal="right"/>
    </xf>
    <xf numFmtId="0" fontId="33" fillId="0" borderId="67" xfId="64" applyFont="1" applyFill="1" applyBorder="1" applyProtection="1">
      <protection locked="0"/>
    </xf>
    <xf numFmtId="0" fontId="25" fillId="33" borderId="64" xfId="64" applyFont="1" applyFill="1" applyBorder="1" applyAlignment="1" applyProtection="1">
      <alignment horizontal="center" vertical="center"/>
      <protection locked="0"/>
    </xf>
    <xf numFmtId="0" fontId="25" fillId="33" borderId="64" xfId="0" applyFont="1" applyFill="1" applyBorder="1" applyAlignment="1">
      <alignment horizontal="center" vertical="center"/>
    </xf>
    <xf numFmtId="0" fontId="25" fillId="35" borderId="63" xfId="64" applyFont="1" applyFill="1" applyBorder="1" applyAlignment="1" applyProtection="1">
      <alignment horizontal="center" vertical="center" wrapText="1"/>
      <protection locked="0"/>
    </xf>
    <xf numFmtId="0" fontId="0" fillId="35" borderId="64" xfId="0" applyFill="1" applyBorder="1" applyAlignment="1"/>
    <xf numFmtId="0" fontId="0" fillId="35" borderId="65" xfId="0" applyFill="1" applyBorder="1" applyAlignment="1"/>
    <xf numFmtId="0" fontId="25" fillId="36" borderId="63" xfId="64" applyFont="1" applyFill="1" applyBorder="1" applyAlignment="1" applyProtection="1">
      <alignment horizontal="center" vertical="center"/>
      <protection locked="0"/>
    </xf>
    <xf numFmtId="0" fontId="0" fillId="36" borderId="64" xfId="0" applyFill="1" applyBorder="1" applyAlignment="1">
      <alignment horizontal="center" vertical="center"/>
    </xf>
    <xf numFmtId="0" fontId="0" fillId="36" borderId="65" xfId="0" applyFill="1" applyBorder="1" applyAlignment="1">
      <alignment horizontal="center" vertical="center"/>
    </xf>
    <xf numFmtId="0" fontId="25" fillId="37" borderId="63" xfId="64" applyNumberFormat="1" applyFont="1" applyFill="1" applyBorder="1" applyAlignment="1" applyProtection="1">
      <alignment horizontal="center" vertical="center"/>
      <protection locked="0"/>
    </xf>
    <xf numFmtId="0" fontId="0" fillId="37" borderId="64" xfId="0" applyFill="1" applyBorder="1" applyAlignment="1">
      <alignment horizontal="center" vertical="center"/>
    </xf>
    <xf numFmtId="0" fontId="33" fillId="31" borderId="64" xfId="64" applyFont="1" applyFill="1" applyBorder="1" applyAlignment="1" applyProtection="1">
      <alignment horizontal="center" vertical="center" wrapText="1"/>
      <protection locked="0"/>
    </xf>
    <xf numFmtId="0" fontId="0" fillId="0" borderId="64" xfId="0" applyBorder="1" applyAlignment="1">
      <alignment horizontal="center" vertical="center" wrapText="1"/>
    </xf>
    <xf numFmtId="0" fontId="25" fillId="38" borderId="46" xfId="64" applyFont="1" applyFill="1" applyBorder="1" applyAlignment="1" applyProtection="1">
      <alignment horizontal="center" vertical="center" wrapText="1"/>
      <protection locked="0"/>
    </xf>
    <xf numFmtId="0" fontId="0" fillId="38" borderId="46" xfId="0" applyFill="1" applyBorder="1" applyAlignment="1">
      <alignment horizontal="center" vertical="center" wrapText="1"/>
    </xf>
    <xf numFmtId="0" fontId="33" fillId="0" borderId="12" xfId="0" applyFont="1" applyFill="1" applyBorder="1" applyAlignment="1" applyProtection="1">
      <alignment horizontal="center" wrapText="1"/>
      <protection locked="0"/>
    </xf>
    <xf numFmtId="0" fontId="0" fillId="0" borderId="17" xfId="0" applyBorder="1" applyAlignment="1"/>
    <xf numFmtId="0" fontId="25" fillId="0" borderId="12" xfId="0" applyFont="1" applyFill="1" applyBorder="1" applyProtection="1">
      <protection locked="0"/>
    </xf>
    <xf numFmtId="0" fontId="25" fillId="0" borderId="15" xfId="0" applyFont="1" applyFill="1" applyBorder="1" applyProtection="1">
      <protection locked="0"/>
    </xf>
    <xf numFmtId="0" fontId="24" fillId="0" borderId="11" xfId="0" applyFont="1" applyFill="1" applyBorder="1" applyAlignment="1" applyProtection="1">
      <alignment horizontal="center" wrapText="1"/>
      <protection locked="0"/>
    </xf>
    <xf numFmtId="0" fontId="34" fillId="0" borderId="17" xfId="0" applyFont="1" applyFill="1" applyBorder="1" applyAlignment="1" applyProtection="1">
      <alignment horizontal="center" wrapText="1"/>
      <protection locked="0"/>
    </xf>
    <xf numFmtId="0" fontId="34" fillId="0" borderId="15" xfId="0" applyFont="1" applyFill="1" applyBorder="1" applyAlignment="1" applyProtection="1">
      <alignment wrapText="1"/>
      <protection locked="0"/>
    </xf>
    <xf numFmtId="0" fontId="24" fillId="0" borderId="14" xfId="0" applyFont="1" applyFill="1" applyBorder="1" applyAlignment="1" applyProtection="1">
      <alignment horizontal="center" wrapText="1"/>
      <protection locked="0"/>
    </xf>
    <xf numFmtId="0" fontId="24" fillId="0" borderId="16" xfId="0" applyFont="1" applyFill="1" applyBorder="1" applyAlignment="1" applyProtection="1">
      <alignment horizontal="center" wrapText="1"/>
      <protection locked="0"/>
    </xf>
    <xf numFmtId="0" fontId="25" fillId="0" borderId="11" xfId="0" applyFont="1" applyFill="1" applyBorder="1" applyAlignment="1" applyProtection="1">
      <alignment wrapText="1"/>
      <protection locked="0"/>
    </xf>
    <xf numFmtId="0" fontId="24" fillId="0" borderId="11" xfId="0" applyFont="1" applyFill="1" applyBorder="1" applyAlignment="1" applyProtection="1">
      <alignment wrapText="1"/>
      <protection locked="0"/>
    </xf>
    <xf numFmtId="3" fontId="24" fillId="0" borderId="11" xfId="0" applyNumberFormat="1" applyFont="1" applyFill="1" applyBorder="1" applyAlignment="1" applyProtection="1">
      <alignment horizontal="center" wrapText="1"/>
      <protection locked="0"/>
    </xf>
    <xf numFmtId="0" fontId="24" fillId="0" borderId="14" xfId="0" applyFont="1" applyFill="1" applyBorder="1" applyAlignment="1" applyProtection="1">
      <alignment wrapText="1"/>
      <protection locked="0"/>
    </xf>
    <xf numFmtId="0" fontId="24" fillId="0" borderId="16" xfId="0" applyFont="1" applyFill="1" applyBorder="1" applyAlignment="1" applyProtection="1">
      <alignment wrapText="1"/>
      <protection locked="0"/>
    </xf>
    <xf numFmtId="0" fontId="24" fillId="0" borderId="12" xfId="0" applyFont="1" applyFill="1" applyBorder="1" applyAlignment="1" applyProtection="1">
      <alignment wrapText="1"/>
      <protection locked="0"/>
    </xf>
    <xf numFmtId="0" fontId="24" fillId="0" borderId="17" xfId="0" applyFont="1" applyFill="1" applyBorder="1" applyAlignment="1" applyProtection="1">
      <alignment wrapText="1"/>
      <protection locked="0"/>
    </xf>
    <xf numFmtId="0" fontId="24" fillId="0" borderId="17" xfId="0" applyFont="1" applyFill="1" applyBorder="1" applyAlignment="1" applyProtection="1">
      <alignment horizontal="center" wrapText="1"/>
      <protection locked="0"/>
    </xf>
    <xf numFmtId="0" fontId="24" fillId="0" borderId="15" xfId="0" applyFont="1" applyFill="1" applyBorder="1" applyAlignment="1" applyProtection="1">
      <alignment wrapText="1"/>
      <protection locked="0"/>
    </xf>
    <xf numFmtId="4" fontId="24" fillId="0" borderId="11" xfId="40" applyNumberFormat="1" applyFont="1" applyFill="1" applyBorder="1" applyAlignment="1" applyProtection="1">
      <alignment horizontal="center" wrapText="1"/>
      <protection locked="0"/>
    </xf>
    <xf numFmtId="0" fontId="24" fillId="0" borderId="11" xfId="40" applyFont="1" applyFill="1" applyBorder="1" applyAlignment="1" applyProtection="1">
      <alignment horizontal="center" wrapText="1"/>
      <protection locked="0"/>
    </xf>
    <xf numFmtId="0" fontId="25" fillId="0" borderId="11" xfId="40" applyFont="1" applyFill="1" applyBorder="1" applyAlignment="1" applyProtection="1">
      <alignment horizontal="center" wrapText="1"/>
      <protection locked="0"/>
    </xf>
    <xf numFmtId="0" fontId="24" fillId="0" borderId="12" xfId="40" applyFont="1" applyFill="1" applyBorder="1" applyAlignment="1" applyProtection="1">
      <alignment horizontal="center" wrapText="1"/>
      <protection locked="0"/>
    </xf>
    <xf numFmtId="0" fontId="24" fillId="0" borderId="15" xfId="40" applyFont="1" applyFill="1" applyBorder="1" applyAlignment="1" applyProtection="1">
      <alignment horizontal="center" wrapText="1"/>
      <protection locked="0"/>
    </xf>
    <xf numFmtId="0" fontId="24" fillId="0" borderId="12" xfId="41" applyFont="1" applyFill="1" applyBorder="1" applyAlignment="1" applyProtection="1">
      <alignment wrapText="1"/>
      <protection locked="0"/>
    </xf>
    <xf numFmtId="0" fontId="24" fillId="0" borderId="17" xfId="40" applyFont="1" applyFill="1" applyBorder="1" applyAlignment="1" applyProtection="1">
      <alignment wrapText="1"/>
      <protection locked="0"/>
    </xf>
    <xf numFmtId="0" fontId="24" fillId="0" borderId="17" xfId="40" applyFont="1" applyFill="1" applyBorder="1" applyAlignment="1" applyProtection="1">
      <alignment horizontal="center" wrapText="1"/>
      <protection locked="0"/>
    </xf>
    <xf numFmtId="0" fontId="24" fillId="0" borderId="15" xfId="40" applyFont="1" applyFill="1" applyBorder="1" applyAlignment="1" applyProtection="1">
      <alignment wrapText="1"/>
      <protection locked="0"/>
    </xf>
    <xf numFmtId="0" fontId="33" fillId="0" borderId="12" xfId="41" applyFont="1" applyFill="1" applyBorder="1" applyAlignment="1" applyProtection="1">
      <alignment horizontal="center" wrapText="1"/>
      <protection locked="0"/>
    </xf>
    <xf numFmtId="0" fontId="34" fillId="0" borderId="17" xfId="40" applyFont="1" applyFill="1" applyBorder="1" applyAlignment="1" applyProtection="1">
      <alignment horizontal="center" wrapText="1"/>
      <protection locked="0"/>
    </xf>
    <xf numFmtId="0" fontId="34" fillId="0" borderId="15" xfId="40" applyFont="1" applyFill="1" applyBorder="1" applyAlignment="1" applyProtection="1">
      <alignment wrapText="1"/>
      <protection locked="0"/>
    </xf>
    <xf numFmtId="0" fontId="24" fillId="0" borderId="15" xfId="40" applyFont="1" applyBorder="1" applyAlignment="1" applyProtection="1">
      <alignment horizontal="center" wrapText="1"/>
      <protection locked="0"/>
    </xf>
    <xf numFmtId="0" fontId="25" fillId="0" borderId="17" xfId="40" applyFont="1" applyFill="1" applyBorder="1" applyAlignment="1" applyProtection="1">
      <alignment horizontal="center" wrapText="1"/>
      <protection locked="0"/>
    </xf>
    <xf numFmtId="0" fontId="32" fillId="0" borderId="0" xfId="40" applyFont="1" applyFill="1" applyAlignment="1" applyProtection="1">
      <alignment vertical="top" wrapText="1"/>
      <protection locked="0"/>
    </xf>
    <xf numFmtId="0" fontId="25" fillId="0" borderId="0" xfId="40" applyFont="1" applyFill="1" applyAlignment="1" applyProtection="1">
      <alignment vertical="top" wrapText="1"/>
      <protection locked="0"/>
    </xf>
    <xf numFmtId="0" fontId="25" fillId="0" borderId="17" xfId="41" applyFont="1" applyFill="1" applyBorder="1" applyAlignment="1" applyProtection="1">
      <alignment horizontal="center" wrapText="1"/>
      <protection locked="0"/>
    </xf>
    <xf numFmtId="0" fontId="33" fillId="0" borderId="54" xfId="61" applyFont="1" applyFill="1" applyBorder="1" applyAlignment="1" applyProtection="1">
      <alignment horizontal="center" wrapText="1"/>
      <protection locked="0"/>
    </xf>
    <xf numFmtId="0" fontId="34" fillId="0" borderId="57" xfId="61" applyFont="1" applyFill="1" applyBorder="1" applyAlignment="1" applyProtection="1">
      <alignment horizontal="center" wrapText="1"/>
      <protection locked="0"/>
    </xf>
    <xf numFmtId="0" fontId="34" fillId="0" borderId="56" xfId="61" applyFont="1" applyFill="1" applyBorder="1" applyAlignment="1" applyProtection="1">
      <alignment wrapText="1"/>
      <protection locked="0"/>
    </xf>
    <xf numFmtId="0" fontId="32" fillId="0" borderId="0" xfId="61" applyFont="1" applyFill="1" applyAlignment="1" applyProtection="1">
      <alignment vertical="top" wrapText="1"/>
      <protection locked="0"/>
    </xf>
    <xf numFmtId="0" fontId="25" fillId="0" borderId="0" xfId="61" applyFont="1" applyFill="1" applyAlignment="1" applyProtection="1">
      <alignment vertical="top" wrapText="1"/>
      <protection locked="0"/>
    </xf>
    <xf numFmtId="0" fontId="33" fillId="0" borderId="54" xfId="62" applyFont="1" applyFill="1" applyBorder="1" applyAlignment="1" applyProtection="1">
      <alignment horizontal="center" wrapText="1"/>
      <protection locked="0"/>
    </xf>
    <xf numFmtId="0" fontId="25" fillId="0" borderId="57" xfId="62" applyFont="1" applyFill="1" applyBorder="1" applyAlignment="1" applyProtection="1">
      <alignment horizontal="center" wrapText="1"/>
      <protection locked="0"/>
    </xf>
    <xf numFmtId="0" fontId="24" fillId="0" borderId="57" xfId="61" applyFont="1" applyFill="1" applyBorder="1" applyAlignment="1" applyProtection="1">
      <alignment horizontal="center" wrapText="1"/>
      <protection locked="0"/>
    </xf>
    <xf numFmtId="0" fontId="24" fillId="0" borderId="56" xfId="61" applyFont="1" applyFill="1" applyBorder="1" applyAlignment="1" applyProtection="1">
      <alignment wrapText="1"/>
      <protection locked="0"/>
    </xf>
    <xf numFmtId="0" fontId="25" fillId="0" borderId="48" xfId="61" applyFont="1" applyFill="1" applyBorder="1" applyAlignment="1" applyProtection="1">
      <alignment horizontal="center" wrapText="1"/>
      <protection locked="0"/>
    </xf>
    <xf numFmtId="0" fontId="24" fillId="0" borderId="48" xfId="61" applyFont="1" applyFill="1" applyBorder="1" applyAlignment="1" applyProtection="1">
      <alignment horizontal="center" wrapText="1"/>
      <protection locked="0"/>
    </xf>
    <xf numFmtId="0" fontId="24" fillId="0" borderId="54" xfId="61" applyFont="1" applyFill="1" applyBorder="1" applyAlignment="1" applyProtection="1">
      <alignment horizontal="center" wrapText="1"/>
      <protection locked="0"/>
    </xf>
    <xf numFmtId="0" fontId="24" fillId="0" borderId="56" xfId="61" applyFont="1" applyFill="1" applyBorder="1" applyAlignment="1" applyProtection="1">
      <alignment horizontal="center" wrapText="1"/>
      <protection locked="0"/>
    </xf>
    <xf numFmtId="0" fontId="24" fillId="0" borderId="54" xfId="61" applyFont="1" applyFill="1" applyBorder="1" applyAlignment="1" applyProtection="1">
      <alignment wrapText="1"/>
      <protection locked="0"/>
    </xf>
    <xf numFmtId="0" fontId="24" fillId="0" borderId="57" xfId="61" applyFont="1" applyFill="1" applyBorder="1" applyAlignment="1" applyProtection="1">
      <alignment wrapText="1"/>
      <protection locked="0"/>
    </xf>
    <xf numFmtId="0" fontId="24" fillId="0" borderId="57" xfId="61" applyBorder="1" applyAlignment="1"/>
    <xf numFmtId="0" fontId="25" fillId="0" borderId="54" xfId="61" applyFont="1" applyFill="1" applyBorder="1" applyProtection="1">
      <protection locked="0"/>
    </xf>
    <xf numFmtId="0" fontId="25" fillId="0" borderId="56" xfId="61" applyFont="1" applyFill="1" applyBorder="1" applyProtection="1">
      <protection locked="0"/>
    </xf>
    <xf numFmtId="0" fontId="24" fillId="0" borderId="55" xfId="61" applyFont="1" applyFill="1" applyBorder="1" applyAlignment="1" applyProtection="1">
      <alignment horizontal="center" wrapText="1"/>
      <protection locked="0"/>
    </xf>
    <xf numFmtId="0" fontId="24" fillId="0" borderId="16" xfId="61" applyFont="1" applyFill="1" applyBorder="1" applyAlignment="1" applyProtection="1">
      <alignment horizontal="center" wrapText="1"/>
      <protection locked="0"/>
    </xf>
    <xf numFmtId="0" fontId="25" fillId="0" borderId="48" xfId="61" applyFont="1" applyFill="1" applyBorder="1" applyAlignment="1" applyProtection="1">
      <alignment wrapText="1"/>
      <protection locked="0"/>
    </xf>
    <xf numFmtId="0" fontId="24" fillId="0" borderId="48" xfId="61" applyFont="1" applyFill="1" applyBorder="1" applyAlignment="1" applyProtection="1">
      <alignment wrapText="1"/>
      <protection locked="0"/>
    </xf>
    <xf numFmtId="3" fontId="24" fillId="0" borderId="48" xfId="61" applyNumberFormat="1" applyFont="1" applyFill="1" applyBorder="1" applyAlignment="1" applyProtection="1">
      <alignment horizontal="center" wrapText="1"/>
      <protection locked="0"/>
    </xf>
    <xf numFmtId="0" fontId="24" fillId="0" borderId="55" xfId="61" applyFont="1" applyFill="1" applyBorder="1" applyAlignment="1" applyProtection="1">
      <alignment wrapText="1"/>
      <protection locked="0"/>
    </xf>
    <xf numFmtId="0" fontId="24" fillId="0" borderId="16" xfId="61" applyFont="1" applyFill="1" applyBorder="1" applyAlignment="1" applyProtection="1">
      <alignment wrapText="1"/>
      <protection locked="0"/>
    </xf>
    <xf numFmtId="0" fontId="24" fillId="0" borderId="56" xfId="61" applyBorder="1" applyAlignment="1" applyProtection="1">
      <alignment horizontal="center" wrapText="1"/>
      <protection locked="0"/>
    </xf>
    <xf numFmtId="0" fontId="24" fillId="0" borderId="54" xfId="62" applyFont="1" applyFill="1" applyBorder="1" applyAlignment="1" applyProtection="1">
      <alignment wrapText="1"/>
      <protection locked="0"/>
    </xf>
    <xf numFmtId="0" fontId="25" fillId="0" borderId="57" xfId="61" applyFont="1" applyFill="1" applyBorder="1" applyAlignment="1" applyProtection="1">
      <alignment horizontal="center" wrapText="1"/>
      <protection locked="0"/>
    </xf>
    <xf numFmtId="0" fontId="33" fillId="0" borderId="54" xfId="76" applyFont="1" applyFill="1" applyBorder="1" applyAlignment="1" applyProtection="1">
      <alignment horizontal="center" wrapText="1"/>
      <protection locked="0"/>
    </xf>
    <xf numFmtId="0" fontId="25" fillId="0" borderId="57" xfId="75" applyFont="1" applyFill="1" applyBorder="1" applyAlignment="1" applyProtection="1">
      <alignment horizontal="center" wrapText="1"/>
      <protection locked="0"/>
    </xf>
    <xf numFmtId="0" fontId="24" fillId="0" borderId="56" xfId="75" applyFont="1" applyFill="1" applyBorder="1" applyAlignment="1" applyProtection="1">
      <alignment wrapText="1"/>
      <protection locked="0"/>
    </xf>
    <xf numFmtId="0" fontId="32" fillId="0" borderId="0" xfId="75" applyFont="1" applyFill="1" applyAlignment="1" applyProtection="1">
      <alignment vertical="top" wrapText="1"/>
      <protection locked="0"/>
    </xf>
    <xf numFmtId="0" fontId="25" fillId="0" borderId="0" xfId="75" applyFont="1" applyFill="1" applyAlignment="1" applyProtection="1">
      <alignment vertical="top" wrapText="1"/>
      <protection locked="0"/>
    </xf>
    <xf numFmtId="0" fontId="25" fillId="0" borderId="57" xfId="76" applyFont="1" applyFill="1" applyBorder="1" applyAlignment="1" applyProtection="1">
      <alignment horizontal="center" wrapText="1"/>
      <protection locked="0"/>
    </xf>
    <xf numFmtId="0" fontId="24" fillId="0" borderId="57" xfId="75" applyFont="1" applyFill="1" applyBorder="1" applyAlignment="1" applyProtection="1">
      <alignment horizontal="center" wrapText="1"/>
      <protection locked="0"/>
    </xf>
    <xf numFmtId="0" fontId="25" fillId="0" borderId="48" xfId="75" applyFont="1" applyFill="1" applyBorder="1" applyAlignment="1" applyProtection="1">
      <alignment horizontal="center" wrapText="1"/>
      <protection locked="0"/>
    </xf>
    <xf numFmtId="0" fontId="24" fillId="0" borderId="48" xfId="75" applyFont="1" applyFill="1" applyBorder="1" applyAlignment="1" applyProtection="1">
      <alignment horizontal="center" wrapText="1"/>
      <protection locked="0"/>
    </xf>
    <xf numFmtId="0" fontId="31" fillId="0" borderId="48" xfId="75" applyFont="1" applyFill="1" applyBorder="1" applyAlignment="1" applyProtection="1">
      <alignment horizontal="center" wrapText="1"/>
      <protection locked="0"/>
    </xf>
    <xf numFmtId="0" fontId="24" fillId="0" borderId="54" xfId="76" applyFont="1" applyFill="1" applyBorder="1" applyAlignment="1" applyProtection="1">
      <alignment wrapText="1"/>
      <protection locked="0"/>
    </xf>
    <xf numFmtId="0" fontId="24" fillId="0" borderId="57" xfId="75" applyFont="1" applyFill="1" applyBorder="1" applyAlignment="1" applyProtection="1">
      <alignment wrapText="1"/>
      <protection locked="0"/>
    </xf>
    <xf numFmtId="0" fontId="24" fillId="0" borderId="54" xfId="75" applyFont="1" applyFill="1" applyBorder="1" applyAlignment="1" applyProtection="1">
      <alignment horizontal="center" wrapText="1"/>
      <protection locked="0"/>
    </xf>
    <xf numFmtId="0" fontId="24" fillId="0" borderId="56" xfId="75" applyBorder="1" applyAlignment="1" applyProtection="1">
      <alignment horizontal="center" wrapText="1"/>
      <protection locked="0"/>
    </xf>
    <xf numFmtId="0" fontId="34" fillId="0" borderId="57" xfId="75" applyFont="1" applyFill="1" applyBorder="1" applyAlignment="1" applyProtection="1">
      <alignment horizontal="center" wrapText="1"/>
      <protection locked="0"/>
    </xf>
    <xf numFmtId="0" fontId="34" fillId="0" borderId="56" xfId="75" applyFont="1" applyFill="1" applyBorder="1" applyAlignment="1" applyProtection="1">
      <alignment wrapText="1"/>
      <protection locked="0"/>
    </xf>
    <xf numFmtId="0" fontId="24" fillId="0" borderId="56" xfId="75" applyFont="1" applyFill="1" applyBorder="1" applyAlignment="1" applyProtection="1">
      <alignment horizontal="center" wrapText="1"/>
      <protection locked="0"/>
    </xf>
    <xf numFmtId="0" fontId="33" fillId="0" borderId="54" xfId="69" applyFont="1" applyFill="1" applyBorder="1" applyAlignment="1" applyProtection="1">
      <alignment horizontal="center" wrapText="1"/>
      <protection locked="0"/>
    </xf>
    <xf numFmtId="0" fontId="24" fillId="0" borderId="57" xfId="69" applyBorder="1" applyAlignment="1"/>
    <xf numFmtId="0" fontId="25" fillId="0" borderId="54" xfId="69" applyFont="1" applyFill="1" applyBorder="1" applyProtection="1">
      <protection locked="0"/>
    </xf>
    <xf numFmtId="0" fontId="25" fillId="0" borderId="56" xfId="69" applyFont="1" applyFill="1" applyBorder="1" applyProtection="1">
      <protection locked="0"/>
    </xf>
    <xf numFmtId="0" fontId="24" fillId="0" borderId="48" xfId="69" applyFont="1" applyFill="1" applyBorder="1" applyAlignment="1" applyProtection="1">
      <alignment horizontal="center" wrapText="1"/>
      <protection locked="0"/>
    </xf>
    <xf numFmtId="0" fontId="34" fillId="0" borderId="57" xfId="69" applyFont="1" applyFill="1" applyBorder="1" applyAlignment="1" applyProtection="1">
      <alignment horizontal="center" wrapText="1"/>
      <protection locked="0"/>
    </xf>
    <xf numFmtId="0" fontId="34" fillId="0" borderId="56" xfId="69" applyFont="1" applyFill="1" applyBorder="1" applyAlignment="1" applyProtection="1">
      <alignment wrapText="1"/>
      <protection locked="0"/>
    </xf>
    <xf numFmtId="0" fontId="24" fillId="0" borderId="55" xfId="69" applyFont="1" applyFill="1" applyBorder="1" applyAlignment="1" applyProtection="1">
      <alignment horizontal="center" wrapText="1"/>
      <protection locked="0"/>
    </xf>
    <xf numFmtId="0" fontId="24" fillId="0" borderId="16" xfId="69" applyFont="1" applyFill="1" applyBorder="1" applyAlignment="1" applyProtection="1">
      <alignment horizontal="center" wrapText="1"/>
      <protection locked="0"/>
    </xf>
    <xf numFmtId="0" fontId="25" fillId="0" borderId="48" xfId="69" applyFont="1" applyFill="1" applyBorder="1" applyAlignment="1" applyProtection="1">
      <alignment wrapText="1"/>
      <protection locked="0"/>
    </xf>
    <xf numFmtId="0" fontId="24" fillId="0" borderId="48" xfId="69" applyFont="1" applyFill="1" applyBorder="1" applyAlignment="1" applyProtection="1">
      <alignment wrapText="1"/>
      <protection locked="0"/>
    </xf>
    <xf numFmtId="3" fontId="24" fillId="0" borderId="48" xfId="69" applyNumberFormat="1" applyFont="1" applyFill="1" applyBorder="1" applyAlignment="1" applyProtection="1">
      <alignment horizontal="center" wrapText="1"/>
      <protection locked="0"/>
    </xf>
    <xf numFmtId="0" fontId="24" fillId="0" borderId="55" xfId="69" applyFont="1" applyFill="1" applyBorder="1" applyAlignment="1" applyProtection="1">
      <alignment wrapText="1"/>
      <protection locked="0"/>
    </xf>
    <xf numFmtId="0" fontId="24" fillId="0" borderId="16" xfId="69" applyFont="1" applyFill="1" applyBorder="1" applyAlignment="1" applyProtection="1">
      <alignment wrapText="1"/>
      <protection locked="0"/>
    </xf>
    <xf numFmtId="0" fontId="24" fillId="0" borderId="54" xfId="69" applyFont="1" applyFill="1" applyBorder="1" applyAlignment="1" applyProtection="1">
      <alignment wrapText="1"/>
      <protection locked="0"/>
    </xf>
    <xf numFmtId="0" fontId="24" fillId="0" borderId="57" xfId="69" applyFont="1" applyFill="1" applyBorder="1" applyAlignment="1" applyProtection="1">
      <alignment wrapText="1"/>
      <protection locked="0"/>
    </xf>
    <xf numFmtId="0" fontId="24" fillId="0" borderId="57" xfId="69" applyFont="1" applyFill="1" applyBorder="1" applyAlignment="1" applyProtection="1">
      <alignment horizontal="center" wrapText="1"/>
      <protection locked="0"/>
    </xf>
    <xf numFmtId="0" fontId="24" fillId="0" borderId="56" xfId="69" applyFont="1" applyFill="1" applyBorder="1" applyAlignment="1" applyProtection="1">
      <alignment wrapText="1"/>
      <protection locked="0"/>
    </xf>
    <xf numFmtId="0" fontId="24" fillId="0" borderId="12" xfId="0" applyFont="1" applyFill="1" applyBorder="1" applyAlignment="1" applyProtection="1">
      <alignment horizontal="center" wrapText="1"/>
      <protection locked="0"/>
    </xf>
    <xf numFmtId="0" fontId="24" fillId="0" borderId="15" xfId="0" applyFont="1" applyFill="1" applyBorder="1" applyAlignment="1" applyProtection="1">
      <alignment horizontal="center" wrapText="1"/>
      <protection locked="0"/>
    </xf>
    <xf numFmtId="0" fontId="33" fillId="0" borderId="17" xfId="0" applyFont="1" applyFill="1" applyBorder="1" applyAlignment="1" applyProtection="1">
      <alignment horizontal="center" wrapText="1"/>
      <protection locked="0"/>
    </xf>
    <xf numFmtId="0" fontId="33" fillId="0" borderId="15" xfId="0" applyFont="1" applyFill="1" applyBorder="1" applyAlignment="1" applyProtection="1">
      <alignment horizontal="center" wrapText="1"/>
      <protection locked="0"/>
    </xf>
    <xf numFmtId="0" fontId="25" fillId="0" borderId="14" xfId="0" applyFont="1" applyFill="1" applyBorder="1" applyAlignment="1" applyProtection="1">
      <alignment wrapText="1"/>
      <protection locked="0"/>
    </xf>
    <xf numFmtId="0" fontId="25" fillId="0" borderId="16" xfId="0" applyFont="1" applyFill="1" applyBorder="1" applyAlignment="1" applyProtection="1">
      <alignment wrapText="1"/>
      <protection locked="0"/>
    </xf>
    <xf numFmtId="3" fontId="24" fillId="0" borderId="20" xfId="0" applyNumberFormat="1" applyFont="1" applyFill="1" applyBorder="1" applyAlignment="1" applyProtection="1">
      <alignment horizontal="center" wrapText="1"/>
      <protection locked="0"/>
    </xf>
    <xf numFmtId="3" fontId="24" fillId="0" borderId="38" xfId="0" applyNumberFormat="1" applyFont="1" applyFill="1" applyBorder="1" applyAlignment="1" applyProtection="1">
      <alignment horizontal="center" wrapText="1"/>
      <protection locked="0"/>
    </xf>
    <xf numFmtId="3" fontId="24" fillId="0" borderId="26" xfId="0" applyNumberFormat="1" applyFont="1" applyFill="1" applyBorder="1" applyAlignment="1" applyProtection="1">
      <alignment horizontal="center" wrapText="1"/>
      <protection locked="0"/>
    </xf>
    <xf numFmtId="3" fontId="24" fillId="0" borderId="18" xfId="0" applyNumberFormat="1" applyFont="1" applyFill="1" applyBorder="1" applyAlignment="1" applyProtection="1">
      <alignment horizontal="center" wrapText="1"/>
      <protection locked="0"/>
    </xf>
    <xf numFmtId="3" fontId="24" fillId="0" borderId="30" xfId="0" applyNumberFormat="1" applyFont="1" applyFill="1" applyBorder="1" applyAlignment="1" applyProtection="1">
      <alignment horizontal="center" wrapText="1"/>
      <protection locked="0"/>
    </xf>
    <xf numFmtId="3" fontId="24" fillId="0" borderId="24" xfId="0" applyNumberFormat="1" applyFont="1" applyFill="1" applyBorder="1" applyAlignment="1" applyProtection="1">
      <alignment horizontal="center" wrapText="1"/>
      <protection locked="0"/>
    </xf>
    <xf numFmtId="0" fontId="24" fillId="0" borderId="12" xfId="61" applyFont="1" applyFill="1" applyBorder="1" applyAlignment="1" applyProtection="1">
      <alignment horizontal="center" wrapText="1"/>
      <protection locked="0"/>
    </xf>
    <xf numFmtId="0" fontId="24" fillId="0" borderId="15" xfId="61" applyFont="1" applyFill="1" applyBorder="1" applyAlignment="1" applyProtection="1">
      <alignment horizontal="center" wrapText="1"/>
      <protection locked="0"/>
    </xf>
    <xf numFmtId="0" fontId="25" fillId="0" borderId="12" xfId="61" applyFont="1" applyFill="1" applyBorder="1" applyAlignment="1" applyProtection="1">
      <alignment horizontal="center" wrapText="1"/>
      <protection locked="0"/>
    </xf>
    <xf numFmtId="0" fontId="25" fillId="0" borderId="15" xfId="61" applyFont="1" applyFill="1" applyBorder="1" applyAlignment="1" applyProtection="1">
      <alignment horizontal="center" wrapText="1"/>
      <protection locked="0"/>
    </xf>
    <xf numFmtId="0" fontId="24" fillId="0" borderId="12" xfId="62" applyFont="1" applyFill="1" applyBorder="1" applyAlignment="1" applyProtection="1">
      <alignment wrapText="1"/>
      <protection locked="0"/>
    </xf>
    <xf numFmtId="0" fontId="24" fillId="0" borderId="17" xfId="62" applyFont="1" applyFill="1" applyBorder="1" applyAlignment="1" applyProtection="1">
      <alignment wrapText="1"/>
      <protection locked="0"/>
    </xf>
    <xf numFmtId="0" fontId="24" fillId="0" borderId="15" xfId="62" applyFont="1" applyFill="1" applyBorder="1" applyAlignment="1" applyProtection="1">
      <alignment wrapText="1"/>
      <protection locked="0"/>
    </xf>
    <xf numFmtId="0" fontId="33" fillId="0" borderId="12" xfId="62" applyFont="1" applyFill="1" applyBorder="1" applyAlignment="1" applyProtection="1">
      <alignment horizontal="center" wrapText="1"/>
      <protection locked="0"/>
    </xf>
    <xf numFmtId="0" fontId="33" fillId="0" borderId="17" xfId="62" applyFont="1" applyFill="1" applyBorder="1" applyAlignment="1" applyProtection="1">
      <alignment horizontal="center" wrapText="1"/>
      <protection locked="0"/>
    </xf>
    <xf numFmtId="0" fontId="33" fillId="0" borderId="15" xfId="62" applyFont="1" applyFill="1" applyBorder="1" applyAlignment="1" applyProtection="1">
      <alignment horizontal="center" wrapText="1"/>
      <protection locked="0"/>
    </xf>
    <xf numFmtId="0" fontId="24" fillId="0" borderId="17" xfId="61" applyFont="1" applyFill="1" applyBorder="1" applyAlignment="1" applyProtection="1">
      <alignment horizontal="center" wrapText="1"/>
      <protection locked="0"/>
    </xf>
    <xf numFmtId="0" fontId="0" fillId="0" borderId="15" xfId="0" applyBorder="1" applyAlignment="1">
      <alignment horizontal="center" wrapText="1"/>
    </xf>
    <xf numFmtId="0" fontId="24" fillId="0" borderId="12" xfId="40" applyFont="1" applyFill="1" applyBorder="1" applyAlignment="1" applyProtection="1">
      <alignment horizontal="left" wrapText="1"/>
      <protection locked="0"/>
    </xf>
    <xf numFmtId="0" fontId="24" fillId="0" borderId="15" xfId="40" applyFont="1" applyFill="1" applyBorder="1" applyAlignment="1" applyProtection="1">
      <alignment horizontal="left" wrapText="1"/>
      <protection locked="0"/>
    </xf>
    <xf numFmtId="0" fontId="24" fillId="0" borderId="0" xfId="40" applyFont="1" applyFill="1" applyAlignment="1" applyProtection="1">
      <alignment vertical="top" wrapText="1"/>
      <protection locked="0"/>
    </xf>
    <xf numFmtId="0" fontId="24" fillId="0" borderId="0" xfId="40" applyFont="1" applyFill="1" applyAlignment="1" applyProtection="1">
      <alignment horizontal="center" vertical="top" wrapText="1"/>
      <protection locked="0"/>
    </xf>
    <xf numFmtId="0" fontId="33" fillId="24" borderId="12" xfId="0" applyFont="1" applyFill="1" applyBorder="1" applyAlignment="1" applyProtection="1">
      <alignment horizontal="center" wrapText="1"/>
      <protection locked="0"/>
    </xf>
    <xf numFmtId="0" fontId="34" fillId="24" borderId="17" xfId="0" applyFont="1" applyFill="1" applyBorder="1" applyAlignment="1" applyProtection="1">
      <alignment horizontal="center" wrapText="1"/>
      <protection locked="0"/>
    </xf>
    <xf numFmtId="0" fontId="34" fillId="24" borderId="15" xfId="0" applyFont="1" applyFill="1" applyBorder="1" applyAlignment="1" applyProtection="1">
      <alignment wrapText="1"/>
      <protection locked="0"/>
    </xf>
    <xf numFmtId="0" fontId="24" fillId="0" borderId="17" xfId="40" applyFont="1" applyFill="1" applyBorder="1" applyAlignment="1" applyProtection="1">
      <alignment horizontal="left" wrapText="1"/>
      <protection locked="0"/>
    </xf>
    <xf numFmtId="0" fontId="25" fillId="0" borderId="11" xfId="0" applyFont="1" applyFill="1" applyBorder="1" applyAlignment="1" applyProtection="1">
      <alignment horizontal="center" wrapText="1"/>
      <protection locked="0"/>
    </xf>
    <xf numFmtId="0" fontId="24" fillId="25" borderId="11" xfId="40" applyFont="1" applyFill="1" applyBorder="1" applyAlignment="1" applyProtection="1">
      <alignment horizontal="center" wrapText="1"/>
      <protection locked="0"/>
    </xf>
    <xf numFmtId="0" fontId="21" fillId="25" borderId="12" xfId="40" applyFont="1" applyFill="1" applyBorder="1" applyAlignment="1" applyProtection="1">
      <alignment horizontal="left" wrapText="1"/>
      <protection locked="0"/>
    </xf>
    <xf numFmtId="0" fontId="21" fillId="25" borderId="15" xfId="40" applyFont="1" applyFill="1" applyBorder="1" applyAlignment="1" applyProtection="1">
      <alignment horizontal="left" wrapText="1"/>
      <protection locked="0"/>
    </xf>
    <xf numFmtId="0" fontId="25" fillId="25" borderId="11" xfId="40" applyFont="1" applyFill="1" applyBorder="1" applyAlignment="1" applyProtection="1">
      <alignment horizontal="center" wrapText="1"/>
      <protection locked="0"/>
    </xf>
    <xf numFmtId="0" fontId="25" fillId="0" borderId="12" xfId="40" applyFont="1" applyFill="1" applyBorder="1" applyAlignment="1" applyProtection="1">
      <alignment horizontal="center" wrapText="1"/>
      <protection locked="0"/>
    </xf>
    <xf numFmtId="0" fontId="25" fillId="0" borderId="15" xfId="40" applyFont="1" applyFill="1" applyBorder="1" applyAlignment="1" applyProtection="1">
      <alignment horizontal="center" wrapText="1"/>
      <protection locked="0"/>
    </xf>
    <xf numFmtId="0" fontId="31" fillId="0" borderId="12" xfId="0" applyFont="1" applyFill="1" applyBorder="1" applyAlignment="1" applyProtection="1">
      <alignment horizontal="center" wrapText="1"/>
      <protection locked="0"/>
    </xf>
    <xf numFmtId="0" fontId="31" fillId="0" borderId="15" xfId="0" applyFont="1" applyFill="1" applyBorder="1" applyAlignment="1" applyProtection="1">
      <alignment horizontal="center" wrapText="1"/>
      <protection locked="0"/>
    </xf>
    <xf numFmtId="168" fontId="24" fillId="0" borderId="11" xfId="0" applyNumberFormat="1" applyFont="1" applyFill="1" applyBorder="1" applyAlignment="1" applyProtection="1">
      <alignment horizontal="center" wrapText="1"/>
      <protection locked="0"/>
    </xf>
    <xf numFmtId="168" fontId="60" fillId="0" borderId="12" xfId="0" applyNumberFormat="1" applyFont="1" applyFill="1" applyBorder="1" applyAlignment="1" applyProtection="1">
      <alignment horizontal="center" vertical="center" wrapText="1"/>
    </xf>
    <xf numFmtId="168" fontId="60" fillId="0" borderId="15" xfId="0" applyNumberFormat="1" applyFont="1" applyFill="1" applyBorder="1" applyAlignment="1" applyProtection="1">
      <alignment horizontal="center" vertical="center" wrapText="1"/>
    </xf>
    <xf numFmtId="168" fontId="60" fillId="0" borderId="22" xfId="0" applyNumberFormat="1" applyFont="1" applyFill="1" applyBorder="1" applyAlignment="1" applyProtection="1">
      <alignment horizontal="center" vertical="center" wrapText="1"/>
      <protection locked="0"/>
    </xf>
    <xf numFmtId="168" fontId="62" fillId="0" borderId="0" xfId="0" applyNumberFormat="1" applyFont="1" applyFill="1" applyAlignment="1" applyProtection="1">
      <alignment horizontal="center" vertical="center" wrapText="1"/>
      <protection locked="0"/>
    </xf>
    <xf numFmtId="0" fontId="41" fillId="0" borderId="0" xfId="0" applyFont="1" applyAlignment="1">
      <alignment horizontal="left"/>
    </xf>
    <xf numFmtId="0" fontId="61" fillId="0" borderId="12" xfId="36" applyFont="1" applyFill="1" applyBorder="1" applyAlignment="1" applyProtection="1">
      <alignment horizontal="center"/>
      <protection locked="0"/>
    </xf>
    <xf numFmtId="0" fontId="61" fillId="0" borderId="15" xfId="36" applyFont="1" applyFill="1" applyBorder="1" applyAlignment="1" applyProtection="1">
      <alignment horizontal="center"/>
      <protection locked="0"/>
    </xf>
    <xf numFmtId="168" fontId="24" fillId="0" borderId="11" xfId="40" applyNumberFormat="1" applyFont="1" applyFill="1" applyBorder="1" applyAlignment="1" applyProtection="1">
      <alignment horizontal="center" wrapText="1"/>
      <protection locked="0"/>
    </xf>
    <xf numFmtId="0" fontId="25" fillId="0" borderId="14" xfId="0" applyFont="1" applyFill="1" applyBorder="1" applyAlignment="1" applyProtection="1">
      <alignment horizontal="left" vertical="center" wrapText="1"/>
      <protection locked="0"/>
    </xf>
    <xf numFmtId="0" fontId="24" fillId="0" borderId="16" xfId="0" applyFont="1" applyFill="1" applyBorder="1" applyAlignment="1" applyProtection="1">
      <alignment horizontal="left" vertical="center" wrapText="1"/>
      <protection locked="0"/>
    </xf>
    <xf numFmtId="168" fontId="25" fillId="0" borderId="27" xfId="0" applyNumberFormat="1" applyFont="1" applyFill="1" applyBorder="1" applyAlignment="1" applyProtection="1">
      <alignment horizontal="center" wrapText="1"/>
      <protection locked="0"/>
    </xf>
    <xf numFmtId="168" fontId="25" fillId="0" borderId="28" xfId="0" applyNumberFormat="1" applyFont="1" applyFill="1" applyBorder="1" applyAlignment="1" applyProtection="1">
      <alignment horizontal="center" wrapText="1"/>
      <protection locked="0"/>
    </xf>
    <xf numFmtId="168" fontId="25" fillId="0" borderId="29" xfId="0" applyNumberFormat="1" applyFont="1" applyFill="1" applyBorder="1" applyAlignment="1" applyProtection="1">
      <alignment horizontal="center" wrapText="1"/>
      <protection locked="0"/>
    </xf>
    <xf numFmtId="0" fontId="41" fillId="0" borderId="14" xfId="0" applyFont="1" applyFill="1" applyBorder="1" applyAlignment="1" applyProtection="1">
      <alignment wrapText="1"/>
      <protection locked="0"/>
    </xf>
    <xf numFmtId="0" fontId="0" fillId="0" borderId="16" xfId="0" applyBorder="1"/>
    <xf numFmtId="168" fontId="60" fillId="0" borderId="18" xfId="0" applyNumberFormat="1" applyFont="1" applyFill="1" applyBorder="1" applyAlignment="1" applyProtection="1">
      <alignment horizontal="left" vertical="top" wrapText="1"/>
      <protection locked="0"/>
    </xf>
    <xf numFmtId="168" fontId="51" fillId="0" borderId="30" xfId="0" applyNumberFormat="1" applyFont="1" applyFill="1" applyBorder="1" applyAlignment="1" applyProtection="1">
      <alignment horizontal="left" vertical="top" wrapText="1"/>
      <protection locked="0"/>
    </xf>
    <xf numFmtId="168" fontId="51" fillId="0" borderId="24" xfId="0" applyNumberFormat="1" applyFont="1" applyFill="1" applyBorder="1" applyAlignment="1" applyProtection="1">
      <alignment horizontal="left" vertical="top" wrapText="1"/>
      <protection locked="0"/>
    </xf>
    <xf numFmtId="168" fontId="58" fillId="0" borderId="12" xfId="40" applyNumberFormat="1" applyFont="1" applyFill="1" applyBorder="1" applyAlignment="1" applyProtection="1">
      <alignment horizontal="left" vertical="center" wrapText="1"/>
      <protection locked="0"/>
    </xf>
    <xf numFmtId="168" fontId="58" fillId="0" borderId="15" xfId="40" applyNumberFormat="1" applyFont="1" applyFill="1" applyBorder="1" applyAlignment="1" applyProtection="1">
      <alignment horizontal="left" vertical="center" wrapText="1"/>
      <protection locked="0"/>
    </xf>
    <xf numFmtId="168" fontId="24" fillId="0" borderId="12" xfId="40" applyNumberFormat="1" applyFont="1" applyFill="1" applyBorder="1" applyAlignment="1" applyProtection="1">
      <alignment horizontal="center" wrapText="1"/>
      <protection locked="0"/>
    </xf>
    <xf numFmtId="168" fontId="24" fillId="0" borderId="15" xfId="40" applyNumberFormat="1" applyFont="1" applyFill="1" applyBorder="1" applyAlignment="1" applyProtection="1">
      <alignment horizontal="center" wrapText="1"/>
      <protection locked="0"/>
    </xf>
    <xf numFmtId="168" fontId="25" fillId="0" borderId="11" xfId="40" applyNumberFormat="1" applyFont="1" applyFill="1" applyBorder="1" applyAlignment="1" applyProtection="1">
      <alignment horizontal="center" wrapText="1"/>
      <protection locked="0"/>
    </xf>
    <xf numFmtId="168" fontId="25" fillId="0" borderId="12" xfId="40" applyNumberFormat="1" applyFont="1" applyFill="1" applyBorder="1" applyAlignment="1" applyProtection="1">
      <alignment horizontal="center" wrapText="1"/>
      <protection locked="0"/>
    </xf>
    <xf numFmtId="168" fontId="25" fillId="0" borderId="15" xfId="40" applyNumberFormat="1" applyFont="1" applyFill="1" applyBorder="1" applyAlignment="1" applyProtection="1">
      <alignment horizontal="center" wrapText="1"/>
      <protection locked="0"/>
    </xf>
    <xf numFmtId="168" fontId="24" fillId="0" borderId="20" xfId="40" applyNumberFormat="1" applyFont="1" applyFill="1" applyBorder="1" applyAlignment="1" applyProtection="1">
      <alignment horizontal="center" wrapText="1"/>
      <protection locked="0"/>
    </xf>
    <xf numFmtId="168" fontId="24" fillId="0" borderId="26" xfId="40" applyNumberFormat="1" applyFont="1" applyFill="1" applyBorder="1" applyAlignment="1" applyProtection="1">
      <alignment horizontal="center" wrapText="1"/>
      <protection locked="0"/>
    </xf>
    <xf numFmtId="168" fontId="24" fillId="0" borderId="18" xfId="40" applyNumberFormat="1" applyFont="1" applyFill="1" applyBorder="1" applyAlignment="1" applyProtection="1">
      <alignment horizontal="center" wrapText="1"/>
      <protection locked="0"/>
    </xf>
    <xf numFmtId="168" fontId="24" fillId="0" borderId="24" xfId="40" applyNumberFormat="1" applyFont="1" applyFill="1" applyBorder="1" applyAlignment="1" applyProtection="1">
      <alignment horizontal="center" wrapText="1"/>
      <protection locked="0"/>
    </xf>
    <xf numFmtId="168" fontId="58" fillId="0" borderId="12" xfId="40" applyNumberFormat="1" applyFont="1" applyFill="1" applyBorder="1" applyAlignment="1" applyProtection="1">
      <alignment horizontal="center" vertical="top" wrapText="1"/>
      <protection locked="0"/>
    </xf>
    <xf numFmtId="168" fontId="58" fillId="0" borderId="15" xfId="40" applyNumberFormat="1" applyFont="1" applyFill="1" applyBorder="1" applyAlignment="1" applyProtection="1">
      <alignment horizontal="center" vertical="top" wrapText="1"/>
      <protection locked="0"/>
    </xf>
    <xf numFmtId="168" fontId="24" fillId="0" borderId="25" xfId="40" applyNumberFormat="1" applyFont="1" applyFill="1" applyBorder="1" applyAlignment="1" applyProtection="1">
      <alignment horizontal="center" wrapText="1"/>
      <protection locked="0"/>
    </xf>
    <xf numFmtId="168" fontId="24" fillId="0" borderId="15" xfId="40" applyNumberFormat="1" applyFont="1" applyBorder="1" applyAlignment="1" applyProtection="1">
      <alignment horizontal="center" wrapText="1"/>
      <protection locked="0"/>
    </xf>
    <xf numFmtId="0" fontId="24" fillId="0" borderId="17" xfId="41" applyFont="1" applyFill="1" applyBorder="1" applyAlignment="1" applyProtection="1">
      <alignment wrapText="1"/>
      <protection locked="0"/>
    </xf>
    <xf numFmtId="0" fontId="24" fillId="0" borderId="15" xfId="41" applyFont="1" applyFill="1" applyBorder="1" applyAlignment="1" applyProtection="1">
      <alignment wrapText="1"/>
      <protection locked="0"/>
    </xf>
    <xf numFmtId="0" fontId="33" fillId="0" borderId="17" xfId="41" applyFont="1" applyFill="1" applyBorder="1" applyAlignment="1" applyProtection="1">
      <alignment horizontal="center" wrapText="1"/>
      <protection locked="0"/>
    </xf>
    <xf numFmtId="0" fontId="33" fillId="0" borderId="15" xfId="41" applyFont="1" applyFill="1" applyBorder="1" applyAlignment="1" applyProtection="1">
      <alignment horizontal="center" wrapText="1"/>
      <protection locked="0"/>
    </xf>
    <xf numFmtId="0" fontId="48" fillId="0" borderId="12" xfId="0" applyFont="1" applyFill="1" applyBorder="1" applyAlignment="1" applyProtection="1">
      <alignment horizontal="center" wrapText="1"/>
      <protection locked="0"/>
    </xf>
    <xf numFmtId="0" fontId="0" fillId="0" borderId="17" xfId="0" applyBorder="1"/>
    <xf numFmtId="0" fontId="0" fillId="0" borderId="15" xfId="0" applyBorder="1"/>
    <xf numFmtId="0" fontId="63" fillId="0" borderId="11" xfId="40" applyFont="1" applyFill="1" applyBorder="1" applyAlignment="1" applyProtection="1">
      <alignment horizontal="center" wrapText="1"/>
      <protection locked="0"/>
    </xf>
    <xf numFmtId="0" fontId="63" fillId="0" borderId="14" xfId="0" applyFont="1" applyFill="1" applyBorder="1" applyAlignment="1" applyProtection="1">
      <alignment horizontal="center" wrapText="1"/>
      <protection locked="0"/>
    </xf>
    <xf numFmtId="0" fontId="63" fillId="0" borderId="16" xfId="0" applyFont="1" applyFill="1" applyBorder="1" applyAlignment="1" applyProtection="1">
      <alignment horizontal="center" wrapText="1"/>
      <protection locked="0"/>
    </xf>
    <xf numFmtId="0" fontId="48" fillId="0" borderId="11" xfId="0" applyFont="1" applyFill="1" applyBorder="1" applyAlignment="1" applyProtection="1">
      <alignment wrapText="1"/>
      <protection locked="0"/>
    </xf>
    <xf numFmtId="0" fontId="63" fillId="0" borderId="11" xfId="0" applyFont="1" applyFill="1" applyBorder="1" applyAlignment="1" applyProtection="1">
      <alignment wrapText="1"/>
      <protection locked="0"/>
    </xf>
    <xf numFmtId="3" fontId="63" fillId="0" borderId="11" xfId="0" applyNumberFormat="1" applyFont="1" applyFill="1" applyBorder="1" applyAlignment="1" applyProtection="1">
      <alignment horizontal="center" wrapText="1"/>
      <protection locked="0"/>
    </xf>
    <xf numFmtId="0" fontId="63" fillId="0" borderId="11" xfId="0" applyFont="1" applyFill="1" applyBorder="1" applyAlignment="1" applyProtection="1">
      <alignment horizontal="center" wrapText="1"/>
      <protection locked="0"/>
    </xf>
    <xf numFmtId="0" fontId="63" fillId="0" borderId="14" xfId="0" applyFont="1" applyFill="1" applyBorder="1" applyAlignment="1" applyProtection="1">
      <alignment wrapText="1"/>
      <protection locked="0"/>
    </xf>
    <xf numFmtId="0" fontId="63" fillId="0" borderId="12" xfId="0" applyFont="1" applyFill="1" applyBorder="1" applyAlignment="1" applyProtection="1">
      <alignment wrapText="1"/>
      <protection locked="0"/>
    </xf>
    <xf numFmtId="0" fontId="48" fillId="0" borderId="12" xfId="0" applyFont="1" applyFill="1" applyBorder="1" applyProtection="1">
      <protection locked="0"/>
    </xf>
    <xf numFmtId="0" fontId="48" fillId="0" borderId="15" xfId="0" applyFont="1" applyFill="1" applyBorder="1" applyProtection="1">
      <protection locked="0"/>
    </xf>
    <xf numFmtId="0" fontId="63" fillId="0" borderId="12" xfId="40" applyFont="1" applyFill="1" applyBorder="1" applyAlignment="1" applyProtection="1">
      <alignment horizontal="center" vertical="top" wrapText="1"/>
      <protection locked="0"/>
    </xf>
    <xf numFmtId="0" fontId="63" fillId="0" borderId="15" xfId="40" applyFont="1" applyFill="1" applyBorder="1" applyAlignment="1" applyProtection="1">
      <alignment horizontal="center" vertical="top" wrapText="1"/>
      <protection locked="0"/>
    </xf>
    <xf numFmtId="0" fontId="63" fillId="0" borderId="12" xfId="0" applyFont="1" applyBorder="1" applyAlignment="1">
      <alignment horizontal="center" vertical="top" wrapText="1"/>
    </xf>
    <xf numFmtId="0" fontId="0" fillId="0" borderId="15" xfId="0" applyBorder="1" applyAlignment="1">
      <alignment horizontal="center" vertical="top" wrapText="1"/>
    </xf>
    <xf numFmtId="0" fontId="48" fillId="0" borderId="11" xfId="40" applyFont="1" applyFill="1" applyBorder="1" applyAlignment="1" applyProtection="1">
      <alignment horizontal="center" wrapText="1"/>
      <protection locked="0"/>
    </xf>
    <xf numFmtId="0" fontId="63" fillId="0" borderId="12" xfId="40" applyFont="1" applyFill="1" applyBorder="1" applyAlignment="1" applyProtection="1">
      <alignment horizontal="center" wrapText="1"/>
      <protection locked="0"/>
    </xf>
    <xf numFmtId="0" fontId="63" fillId="0" borderId="15" xfId="40" applyFont="1" applyFill="1" applyBorder="1" applyAlignment="1" applyProtection="1">
      <alignment horizontal="center" wrapText="1"/>
      <protection locked="0"/>
    </xf>
    <xf numFmtId="0" fontId="63" fillId="0" borderId="12" xfId="41" applyFont="1" applyFill="1" applyBorder="1" applyAlignment="1" applyProtection="1">
      <alignment wrapText="1"/>
      <protection locked="0"/>
    </xf>
    <xf numFmtId="0" fontId="48" fillId="0" borderId="12" xfId="41" applyFont="1" applyFill="1" applyBorder="1" applyAlignment="1" applyProtection="1">
      <alignment horizontal="center" wrapText="1"/>
      <protection locked="0"/>
    </xf>
    <xf numFmtId="0" fontId="63" fillId="0" borderId="15" xfId="40" applyFont="1" applyBorder="1" applyAlignment="1" applyProtection="1">
      <alignment horizontal="center" wrapText="1"/>
      <protection locked="0"/>
    </xf>
    <xf numFmtId="0" fontId="48" fillId="0" borderId="0" xfId="40" applyFont="1" applyFill="1" applyAlignment="1" applyProtection="1">
      <alignment vertical="top" wrapText="1"/>
      <protection locked="0"/>
    </xf>
    <xf numFmtId="0" fontId="63" fillId="0" borderId="11" xfId="40" applyFont="1" applyFill="1" applyBorder="1" applyAlignment="1" applyProtection="1">
      <alignment horizontal="center" vertical="top" wrapText="1"/>
      <protection locked="0"/>
    </xf>
    <xf numFmtId="9" fontId="24" fillId="0" borderId="12" xfId="40" applyNumberFormat="1" applyFont="1" applyFill="1" applyBorder="1" applyAlignment="1" applyProtection="1">
      <alignment horizontal="center" wrapText="1"/>
      <protection locked="0"/>
    </xf>
    <xf numFmtId="0" fontId="37" fillId="0" borderId="15" xfId="40" applyBorder="1" applyAlignment="1" applyProtection="1">
      <alignment horizontal="center" wrapText="1"/>
      <protection locked="0"/>
    </xf>
    <xf numFmtId="0" fontId="25" fillId="0" borderId="11" xfId="0" applyFont="1" applyFill="1" applyBorder="1" applyProtection="1">
      <protection locked="0"/>
    </xf>
    <xf numFmtId="0" fontId="24" fillId="0" borderId="11" xfId="61" applyFont="1" applyFill="1" applyBorder="1" applyAlignment="1" applyProtection="1">
      <alignment horizontal="center" wrapText="1"/>
      <protection locked="0"/>
    </xf>
    <xf numFmtId="169" fontId="24" fillId="0" borderId="11" xfId="61" applyNumberFormat="1" applyFont="1" applyFill="1" applyBorder="1" applyAlignment="1" applyProtection="1">
      <alignment horizontal="center" wrapText="1"/>
      <protection locked="0"/>
    </xf>
    <xf numFmtId="0" fontId="25" fillId="0" borderId="11" xfId="61" applyFont="1" applyFill="1" applyBorder="1" applyAlignment="1" applyProtection="1">
      <alignment horizontal="center" wrapText="1"/>
      <protection locked="0"/>
    </xf>
    <xf numFmtId="0" fontId="24" fillId="0" borderId="17" xfId="61" applyFont="1" applyFill="1" applyBorder="1" applyAlignment="1" applyProtection="1">
      <alignment wrapText="1"/>
      <protection locked="0"/>
    </xf>
    <xf numFmtId="0" fontId="24" fillId="0" borderId="15" xfId="61" applyFont="1" applyFill="1" applyBorder="1" applyAlignment="1" applyProtection="1">
      <alignment wrapText="1"/>
      <protection locked="0"/>
    </xf>
    <xf numFmtId="0" fontId="34" fillId="0" borderId="17" xfId="61" applyFont="1" applyFill="1" applyBorder="1" applyAlignment="1" applyProtection="1">
      <alignment horizontal="center" wrapText="1"/>
      <protection locked="0"/>
    </xf>
    <xf numFmtId="0" fontId="34" fillId="0" borderId="15" xfId="61" applyFont="1" applyFill="1" applyBorder="1" applyAlignment="1" applyProtection="1">
      <alignment wrapText="1"/>
      <protection locked="0"/>
    </xf>
    <xf numFmtId="0" fontId="24" fillId="0" borderId="15" xfId="61" applyBorder="1" applyAlignment="1" applyProtection="1">
      <alignment horizontal="center" wrapText="1"/>
      <protection locked="0"/>
    </xf>
    <xf numFmtId="0" fontId="25" fillId="0" borderId="17" xfId="61" applyFont="1" applyFill="1" applyBorder="1" applyAlignment="1" applyProtection="1">
      <alignment horizontal="center" wrapText="1"/>
      <protection locked="0"/>
    </xf>
    <xf numFmtId="0" fontId="25" fillId="0" borderId="17" xfId="62" applyFont="1" applyFill="1" applyBorder="1" applyAlignment="1" applyProtection="1">
      <alignment horizontal="center" wrapText="1"/>
      <protection locked="0"/>
    </xf>
    <xf numFmtId="0" fontId="31" fillId="0" borderId="11" xfId="61" applyFont="1" applyFill="1" applyBorder="1" applyAlignment="1" applyProtection="1">
      <alignment horizontal="center" wrapText="1"/>
      <protection locked="0"/>
    </xf>
    <xf numFmtId="0" fontId="21" fillId="0" borderId="11" xfId="61" applyFont="1" applyFill="1" applyBorder="1" applyAlignment="1" applyProtection="1">
      <alignment horizontal="center" wrapText="1"/>
      <protection locked="0"/>
    </xf>
    <xf numFmtId="0" fontId="24" fillId="0" borderId="12" xfId="61" applyFont="1" applyFill="1" applyBorder="1" applyAlignment="1" applyProtection="1">
      <alignment horizontal="center"/>
      <protection locked="0"/>
    </xf>
    <xf numFmtId="0" fontId="24" fillId="0" borderId="15" xfId="61" applyFont="1" applyFill="1" applyBorder="1" applyAlignment="1" applyProtection="1">
      <alignment horizontal="center"/>
      <protection locked="0"/>
    </xf>
    <xf numFmtId="0" fontId="31" fillId="0" borderId="12" xfId="61" applyFont="1" applyFill="1" applyBorder="1" applyAlignment="1" applyProtection="1">
      <alignment horizontal="center"/>
      <protection locked="0"/>
    </xf>
    <xf numFmtId="0" fontId="31" fillId="0" borderId="15" xfId="0" applyFont="1" applyBorder="1" applyAlignment="1">
      <alignment horizontal="center"/>
    </xf>
    <xf numFmtId="0" fontId="25" fillId="0" borderId="12" xfId="61" applyFont="1" applyFill="1" applyBorder="1" applyAlignment="1" applyProtection="1">
      <alignment horizontal="center"/>
      <protection locked="0"/>
    </xf>
    <xf numFmtId="0" fontId="25" fillId="0" borderId="15" xfId="61" applyFont="1" applyFill="1" applyBorder="1" applyAlignment="1" applyProtection="1">
      <alignment horizontal="center"/>
      <protection locked="0"/>
    </xf>
    <xf numFmtId="0" fontId="0" fillId="0" borderId="15" xfId="0" applyBorder="1" applyAlignment="1">
      <alignment horizontal="center"/>
    </xf>
    <xf numFmtId="0" fontId="24" fillId="25" borderId="11" xfId="61" applyFont="1" applyFill="1" applyBorder="1" applyAlignment="1" applyProtection="1">
      <alignment horizontal="center" wrapText="1"/>
      <protection locked="0"/>
    </xf>
    <xf numFmtId="0" fontId="25" fillId="25" borderId="11" xfId="61" applyFont="1" applyFill="1" applyBorder="1" applyAlignment="1" applyProtection="1">
      <alignment horizontal="center" wrapText="1"/>
      <protection locked="0"/>
    </xf>
  </cellXfs>
  <cellStyles count="85">
    <cellStyle name="20% - Accent1" xfId="1" builtinId="30" customBuiltin="1"/>
    <cellStyle name="20% - Accent1 2" xfId="48"/>
    <cellStyle name="20% - Accent2" xfId="2" builtinId="34" customBuiltin="1"/>
    <cellStyle name="20% - Accent2 2" xfId="49"/>
    <cellStyle name="20% - Accent3" xfId="3" builtinId="38" customBuiltin="1"/>
    <cellStyle name="20% - Accent3 2" xfId="50"/>
    <cellStyle name="20% - Accent4" xfId="4" builtinId="42" customBuiltin="1"/>
    <cellStyle name="20% - Accent4 2" xfId="51"/>
    <cellStyle name="20% - Accent5" xfId="5" builtinId="46" customBuiltin="1"/>
    <cellStyle name="20% - Accent5 2" xfId="52"/>
    <cellStyle name="20% - Accent6" xfId="6" builtinId="50" customBuiltin="1"/>
    <cellStyle name="20% - Accent6 2" xfId="53"/>
    <cellStyle name="40% - Accent1" xfId="7" builtinId="31" customBuiltin="1"/>
    <cellStyle name="40% - Accent1 2" xfId="54"/>
    <cellStyle name="40% - Accent2" xfId="8" builtinId="35" customBuiltin="1"/>
    <cellStyle name="40% - Accent2 2" xfId="55"/>
    <cellStyle name="40% - Accent3" xfId="9" builtinId="39" customBuiltin="1"/>
    <cellStyle name="40% - Accent3 2" xfId="56"/>
    <cellStyle name="40% - Accent4" xfId="10" builtinId="43" customBuiltin="1"/>
    <cellStyle name="40% - Accent4 2" xfId="57"/>
    <cellStyle name="40% - Accent5" xfId="11" builtinId="47" customBuiltin="1"/>
    <cellStyle name="40% - Accent5 2" xfId="58"/>
    <cellStyle name="40% - Accent6" xfId="12" builtinId="51" customBuiltin="1"/>
    <cellStyle name="40% - Accent6 2" xfId="59"/>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70"/>
    <cellStyle name="Check Cell" xfId="27" builtinId="23" customBuiltin="1"/>
    <cellStyle name="Comma" xfId="28" builtinId="3"/>
    <cellStyle name="Comma 2" xfId="66"/>
    <cellStyle name="Comma 3" xfId="82"/>
    <cellStyle name="Currency 2" xfId="29"/>
    <cellStyle name="Currency 3" xfId="67"/>
    <cellStyle name="Currency 4" xfId="83"/>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60"/>
    <cellStyle name="Hyperlink_Chico" xfId="68"/>
    <cellStyle name="Input" xfId="37" builtinId="20" customBuiltin="1"/>
    <cellStyle name="Input 2" xfId="71"/>
    <cellStyle name="Linked Cell" xfId="38" builtinId="24" customBuiltin="1"/>
    <cellStyle name="Neutral" xfId="39" builtinId="28" customBuiltin="1"/>
    <cellStyle name="Normal" xfId="0" builtinId="0"/>
    <cellStyle name="Normal 10" xfId="84"/>
    <cellStyle name="Normal 2" xfId="40"/>
    <cellStyle name="Normal 2 2" xfId="61"/>
    <cellStyle name="Normal 2_Chico" xfId="75"/>
    <cellStyle name="Normal 3" xfId="47"/>
    <cellStyle name="Normal 4" xfId="65"/>
    <cellStyle name="Normal 5" xfId="77"/>
    <cellStyle name="Normal 6" xfId="78"/>
    <cellStyle name="Normal 7" xfId="79"/>
    <cellStyle name="Normal 8" xfId="80"/>
    <cellStyle name="Normal 9" xfId="81"/>
    <cellStyle name="Normal_Chico" xfId="69"/>
    <cellStyle name="Normal_GS-LibStats_99-00allCAMPS" xfId="64"/>
    <cellStyle name="Normal_Sheet1" xfId="41"/>
    <cellStyle name="Normal_Sheet1 2" xfId="62"/>
    <cellStyle name="Normal_Sheet1_Chico" xfId="76"/>
    <cellStyle name="Note" xfId="42" builtinId="10" customBuiltin="1"/>
    <cellStyle name="Note 2" xfId="63"/>
    <cellStyle name="Note 3" xfId="72"/>
    <cellStyle name="Output" xfId="43" builtinId="21" customBuiltin="1"/>
    <cellStyle name="Output 2" xfId="73"/>
    <cellStyle name="Title" xfId="44" builtinId="15" customBuiltin="1"/>
    <cellStyle name="Total" xfId="45" builtinId="25" customBuiltin="1"/>
    <cellStyle name="Total 2" xfId="74"/>
    <cellStyle name="Warning Text" xfId="46" builtinId="11" customBuiltin="1"/>
  </cellStyles>
  <dxfs count="1">
    <dxf>
      <fill>
        <patternFill>
          <bgColor theme="6" tint="0.79998168889431442"/>
        </patternFill>
      </fill>
    </dxf>
  </dxfs>
  <tableStyles count="0" defaultTableStyle="TableStyleMedium9" defaultPivotStyle="PivotStyleLight16"/>
  <colors>
    <mruColors>
      <color rgb="FF3EEFF8"/>
      <color rgb="FF6BE8F9"/>
      <color rgb="FFBEF6FE"/>
      <color rgb="FF8C91FC"/>
      <color rgb="FFD6FED8"/>
      <color rgb="FFFEE2D2"/>
      <color rgb="FFDEE6FE"/>
      <color rgb="FFDAFAFE"/>
      <color rgb="FFE1FFF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2</xdr:row>
      <xdr:rowOff>47624</xdr:rowOff>
    </xdr:from>
    <xdr:to>
      <xdr:col>0</xdr:col>
      <xdr:colOff>1133474</xdr:colOff>
      <xdr:row>2</xdr:row>
      <xdr:rowOff>1019175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04849" y="533399"/>
          <a:ext cx="1038225" cy="9715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mailto:sharlene@csulb.edu"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3.bin"/><Relationship Id="rId1" Type="http://schemas.openxmlformats.org/officeDocument/2006/relationships/hyperlink" Target="mailto:jtsuyk@cslanet.calstatela.edu" TargetMode="External"/><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hyperlink" Target="mailto:brobnett@csumb.edu"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hyperlink" Target="mailto:marianne.afifi@csun.edu" TargetMode="External"/><Relationship Id="rId1" Type="http://schemas.openxmlformats.org/officeDocument/2006/relationships/hyperlink" Target="http://digital-library.csun.edu/" TargetMode="External"/><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hyperlink" Target="mailto:cameaux@csupomona.edu"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hyperlink" Target="mailto:xanders@csus.edu"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hyperlink" Target="mailto:icontrer@csusb.edu" TargetMode="Externa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hyperlink" Target="mailto:mlester@mail.sdsu.edu" TargetMode="Externa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4.bin"/><Relationship Id="rId1" Type="http://schemas.openxmlformats.org/officeDocument/2006/relationships/hyperlink" Target="mailto:gli@sfsu.edu" TargetMode="External"/><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emontoya@csub.edu"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hyperlink" Target="mailto:Ruth.Kifer@sjsu.edu" TargetMode="External"/></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hyperlink" Target="mailto:sbratche@calpoly.edu" TargetMode="External"/></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hyperlink" Target="mailto:kherlihy@csusm.edu"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5.bin"/><Relationship Id="rId1" Type="http://schemas.openxmlformats.org/officeDocument/2006/relationships/hyperlink" Target="mailto:mike.kiraly@sonoma.edu" TargetMode="External"/><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xml.rels><?xml version="1.0" encoding="UTF-8" standalone="yes"?>
<Relationships xmlns="http://schemas.openxmlformats.org/package/2006/relationships"><Relationship Id="rId1" Type="http://schemas.openxmlformats.org/officeDocument/2006/relationships/hyperlink" Target="mailto:stephen.stratton@csuci.edu"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sblakeslee@csuchico.edu"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jedavis@csudh.edu"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susan.rath@csueastbay.edu"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mailto:davety@csufresno.edu"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http://boswell.library.fullerton.edu/" TargetMode="External"/><Relationship Id="rId1" Type="http://schemas.openxmlformats.org/officeDocument/2006/relationships/hyperlink" Target="mailto:szaidi@fullerton.edu" TargetMode="Externa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hyperlink" Target="http://humboldt-dspace.calstate.edu/" TargetMode="External"/><Relationship Id="rId2" Type="http://schemas.openxmlformats.org/officeDocument/2006/relationships/hyperlink" Target="http://library.humboldt.edu/humco/holdings/photocoll.htm" TargetMode="External"/><Relationship Id="rId1" Type="http://schemas.openxmlformats.org/officeDocument/2006/relationships/hyperlink" Target="mailto:kellee.johnson@humboldt.edu"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dimension ref="A1:GK35"/>
  <sheetViews>
    <sheetView tabSelected="1" topLeftCell="A3" zoomScale="80" zoomScaleNormal="80" zoomScaleSheetLayoutView="50" workbookViewId="0">
      <pane xSplit="1" topLeftCell="B1" activePane="topRight" state="frozen"/>
      <selection pane="topRight" activeCell="A4" sqref="A4"/>
    </sheetView>
  </sheetViews>
  <sheetFormatPr defaultRowHeight="12.75"/>
  <cols>
    <col min="1" max="1" width="18.7109375" customWidth="1"/>
    <col min="2" max="5" width="15.7109375" customWidth="1"/>
    <col min="6" max="6" width="19.140625" customWidth="1"/>
    <col min="7" max="11" width="15.7109375" customWidth="1"/>
    <col min="12" max="12" width="14" customWidth="1"/>
    <col min="13" max="13" width="12" customWidth="1"/>
    <col min="14" max="14" width="14.140625" customWidth="1"/>
    <col min="15" max="15" width="15.7109375" customWidth="1"/>
    <col min="16" max="16" width="20" customWidth="1"/>
    <col min="17" max="17" width="16.7109375" customWidth="1"/>
    <col min="18" max="18" width="16.5703125" customWidth="1"/>
    <col min="19" max="19" width="18.85546875" customWidth="1"/>
    <col min="20" max="20" width="16.85546875" customWidth="1"/>
    <col min="21" max="21" width="13.140625" customWidth="1"/>
    <col min="22" max="23" width="16" customWidth="1"/>
    <col min="24" max="24" width="16.85546875" customWidth="1"/>
    <col min="25" max="25" width="13.85546875" customWidth="1"/>
    <col min="26" max="26" width="16" customWidth="1"/>
    <col min="27" max="27" width="17.28515625" customWidth="1"/>
    <col min="28" max="28" width="18.85546875" customWidth="1"/>
    <col min="29" max="30" width="19.7109375" customWidth="1"/>
    <col min="31" max="31" width="17.42578125" customWidth="1"/>
    <col min="32" max="32" width="13" customWidth="1"/>
    <col min="33" max="33" width="16.42578125" customWidth="1"/>
    <col min="34" max="34" width="18.85546875" customWidth="1"/>
    <col min="35" max="35" width="20.5703125" customWidth="1"/>
    <col min="36" max="36" width="14" customWidth="1"/>
    <col min="37" max="37" width="15.28515625" customWidth="1"/>
    <col min="38" max="38" width="12.42578125" customWidth="1"/>
    <col min="39" max="39" width="13.5703125" customWidth="1"/>
    <col min="40" max="40" width="14.28515625" customWidth="1"/>
    <col min="41" max="41" width="16" customWidth="1"/>
    <col min="42" max="42" width="16.85546875" customWidth="1"/>
    <col min="43" max="43" width="13.42578125" customWidth="1"/>
    <col min="44" max="44" width="13.85546875" customWidth="1"/>
    <col min="45" max="51" width="13.140625" customWidth="1"/>
    <col min="52" max="52" width="20.42578125" customWidth="1"/>
    <col min="53" max="53" width="20.28515625" customWidth="1"/>
    <col min="54" max="54" width="18.140625" customWidth="1"/>
    <col min="55" max="55" width="18.85546875" customWidth="1"/>
    <col min="56" max="56" width="19" customWidth="1"/>
    <col min="57" max="57" width="19.5703125" customWidth="1"/>
    <col min="58" max="58" width="20" customWidth="1"/>
    <col min="59" max="59" width="25.42578125" customWidth="1"/>
    <col min="60" max="60" width="24" customWidth="1"/>
    <col min="61" max="61" width="19.28515625" customWidth="1"/>
    <col min="62" max="62" width="15.140625" customWidth="1"/>
    <col min="63" max="63" width="16.5703125" customWidth="1"/>
    <col min="64" max="64" width="20.85546875" customWidth="1"/>
    <col min="65" max="65" width="30.28515625" customWidth="1"/>
    <col min="66" max="66" width="23.140625" customWidth="1"/>
    <col min="67" max="67" width="17.42578125" customWidth="1"/>
    <col min="68" max="68" width="18.7109375" customWidth="1"/>
    <col min="69" max="69" width="19.5703125" customWidth="1"/>
    <col min="70" max="70" width="19.28515625" customWidth="1"/>
    <col min="71" max="72" width="13" customWidth="1"/>
    <col min="73" max="73" width="12.42578125" customWidth="1"/>
    <col min="74" max="74" width="12.140625" customWidth="1"/>
    <col min="75" max="75" width="12.5703125" customWidth="1"/>
    <col min="76" max="76" width="12.42578125" customWidth="1"/>
    <col min="77" max="77" width="15.5703125" customWidth="1"/>
    <col min="78" max="78" width="13.140625" customWidth="1"/>
    <col min="79" max="79" width="18.85546875" customWidth="1"/>
    <col min="80" max="80" width="17.28515625" customWidth="1"/>
    <col min="81" max="81" width="16.140625" customWidth="1"/>
    <col min="82" max="82" width="22.42578125" customWidth="1"/>
    <col min="83" max="83" width="14.42578125" customWidth="1"/>
    <col min="84" max="84" width="15.140625" customWidth="1"/>
    <col min="85" max="85" width="16.7109375" customWidth="1"/>
    <col min="86" max="86" width="14.7109375" customWidth="1"/>
    <col min="87" max="87" width="17.140625" customWidth="1"/>
    <col min="88" max="88" width="18.28515625" customWidth="1"/>
    <col min="89" max="89" width="13.42578125" customWidth="1"/>
    <col min="90" max="90" width="21" customWidth="1"/>
    <col min="91" max="91" width="15.28515625" customWidth="1"/>
    <col min="92" max="92" width="20.42578125" customWidth="1"/>
    <col min="93" max="100" width="15.7109375" customWidth="1"/>
    <col min="101" max="101" width="17.85546875" customWidth="1"/>
    <col min="102" max="102" width="17.28515625" customWidth="1"/>
    <col min="103" max="106" width="18.7109375" customWidth="1"/>
    <col min="107" max="107" width="20" customWidth="1"/>
    <col min="108" max="108" width="19" customWidth="1"/>
    <col min="109" max="109" width="18.140625" customWidth="1"/>
    <col min="110" max="110" width="21.28515625" customWidth="1"/>
    <col min="111" max="112" width="19.28515625" customWidth="1"/>
    <col min="113" max="113" width="20.85546875" customWidth="1"/>
    <col min="114" max="114" width="20" customWidth="1"/>
    <col min="115" max="115" width="21.42578125" customWidth="1"/>
    <col min="116" max="116" width="20.7109375" customWidth="1"/>
    <col min="117" max="117" width="17.85546875" customWidth="1"/>
    <col min="118" max="118" width="15.28515625" customWidth="1"/>
    <col min="119" max="119" width="17.7109375" customWidth="1"/>
    <col min="120" max="120" width="13.5703125" customWidth="1"/>
    <col min="121" max="121" width="16.28515625" customWidth="1"/>
    <col min="122" max="122" width="13.28515625" customWidth="1"/>
    <col min="123" max="124" width="14.42578125" customWidth="1"/>
    <col min="125" max="125" width="18.5703125" customWidth="1"/>
    <col min="126" max="126" width="12.42578125" customWidth="1"/>
    <col min="127" max="127" width="14.7109375" customWidth="1"/>
    <col min="128" max="128" width="13.85546875" customWidth="1"/>
    <col min="129" max="130" width="14.28515625" customWidth="1"/>
    <col min="131" max="131" width="16" customWidth="1"/>
    <col min="132" max="132" width="15.140625" customWidth="1"/>
    <col min="133" max="133" width="14" customWidth="1"/>
    <col min="134" max="134" width="13.42578125" customWidth="1"/>
    <col min="135" max="135" width="13" customWidth="1"/>
    <col min="136" max="136" width="15.28515625" customWidth="1"/>
    <col min="137" max="138" width="15" customWidth="1"/>
    <col min="139" max="139" width="21.7109375" customWidth="1"/>
    <col min="140" max="140" width="15.28515625" customWidth="1"/>
    <col min="141" max="141" width="13.28515625" customWidth="1"/>
    <col min="142" max="142" width="16.85546875" customWidth="1"/>
    <col min="143" max="143" width="15.42578125" customWidth="1"/>
    <col min="144" max="144" width="12.7109375" customWidth="1"/>
    <col min="145" max="145" width="13.28515625" customWidth="1"/>
    <col min="146" max="146" width="16.7109375" customWidth="1"/>
    <col min="147" max="147" width="14.7109375" customWidth="1"/>
    <col min="148" max="148" width="16.5703125" customWidth="1"/>
    <col min="149" max="149" width="15.42578125" customWidth="1"/>
    <col min="150" max="150" width="14.42578125" customWidth="1"/>
    <col min="151" max="151" width="17.42578125" customWidth="1"/>
    <col min="152" max="152" width="13.85546875" customWidth="1"/>
    <col min="153" max="153" width="15.140625" customWidth="1"/>
    <col min="154" max="154" width="13.7109375" customWidth="1"/>
    <col min="155" max="155" width="14.7109375" customWidth="1"/>
    <col min="156" max="156" width="13.7109375" customWidth="1"/>
    <col min="157" max="158" width="15.28515625" customWidth="1"/>
    <col min="159" max="159" width="14.5703125" customWidth="1"/>
    <col min="160" max="160" width="17.7109375" customWidth="1"/>
    <col min="161" max="161" width="17.85546875" customWidth="1"/>
    <col min="162" max="162" width="16.5703125" customWidth="1"/>
    <col min="163" max="163" width="15.85546875" customWidth="1"/>
    <col min="164" max="164" width="16.28515625" customWidth="1"/>
    <col min="165" max="165" width="13.85546875" customWidth="1"/>
    <col min="166" max="166" width="16.5703125" customWidth="1"/>
    <col min="167" max="167" width="15.140625" customWidth="1"/>
    <col min="168" max="168" width="15.85546875" customWidth="1"/>
    <col min="169" max="169" width="16.5703125" customWidth="1"/>
    <col min="170" max="170" width="16.85546875" customWidth="1"/>
    <col min="171" max="171" width="12.42578125" customWidth="1"/>
    <col min="172" max="172" width="16.7109375" customWidth="1"/>
    <col min="173" max="173" width="11.7109375" customWidth="1"/>
    <col min="174" max="175" width="14.42578125" customWidth="1"/>
    <col min="176" max="176" width="13.7109375" customWidth="1"/>
    <col min="177" max="177" width="13.85546875" customWidth="1"/>
    <col min="178" max="178" width="12.28515625" customWidth="1"/>
    <col min="179" max="179" width="13.42578125" customWidth="1"/>
    <col min="180" max="180" width="15.7109375" customWidth="1"/>
    <col min="181" max="181" width="15.140625" customWidth="1"/>
    <col min="182" max="182" width="14.85546875" customWidth="1"/>
    <col min="183" max="184" width="16.5703125" customWidth="1"/>
    <col min="185" max="185" width="16.28515625" customWidth="1"/>
    <col min="186" max="186" width="16.42578125" customWidth="1"/>
    <col min="187" max="187" width="16.140625" customWidth="1"/>
    <col min="188" max="188" width="14.85546875" customWidth="1"/>
    <col min="189" max="189" width="13.140625" customWidth="1"/>
    <col min="190" max="190" width="15.7109375" customWidth="1"/>
    <col min="191" max="191" width="14.7109375" customWidth="1"/>
    <col min="192" max="192" width="16.85546875" customWidth="1"/>
    <col min="193" max="193" width="19.42578125" customWidth="1"/>
  </cols>
  <sheetData>
    <row r="1" spans="1:193" ht="13.5" thickBot="1"/>
    <row r="2" spans="1:193" s="1131" customFormat="1" ht="22.5" customHeight="1" thickBot="1">
      <c r="A2" s="1129"/>
      <c r="B2" s="1187" t="s">
        <v>494</v>
      </c>
      <c r="C2" s="1188"/>
      <c r="D2" s="1188"/>
      <c r="E2" s="1188"/>
      <c r="F2" s="1189"/>
      <c r="G2" s="1190" t="s">
        <v>498</v>
      </c>
      <c r="H2" s="1191"/>
      <c r="I2" s="1191"/>
      <c r="J2" s="1191"/>
      <c r="K2" s="1191"/>
      <c r="L2" s="1191"/>
      <c r="M2" s="1191"/>
      <c r="N2" s="1191"/>
      <c r="O2" s="1191"/>
      <c r="P2" s="1191"/>
      <c r="Q2" s="1191"/>
      <c r="R2" s="1191"/>
      <c r="S2" s="1192"/>
      <c r="T2" s="1193" t="s">
        <v>361</v>
      </c>
      <c r="U2" s="1194"/>
      <c r="V2" s="1194"/>
      <c r="W2" s="1194"/>
      <c r="X2" s="1194"/>
      <c r="Y2" s="1194"/>
      <c r="Z2" s="1194"/>
      <c r="AA2" s="1194"/>
      <c r="AB2" s="1194"/>
      <c r="AC2" s="1194"/>
      <c r="AD2" s="1194"/>
      <c r="AE2" s="1194"/>
      <c r="AF2" s="1194"/>
      <c r="AG2" s="1194"/>
      <c r="AH2" s="1194"/>
      <c r="AI2" s="1194"/>
      <c r="AJ2" s="1194"/>
      <c r="AK2" s="1194"/>
      <c r="AL2" s="1194"/>
      <c r="AM2" s="1194"/>
      <c r="AN2" s="1194"/>
      <c r="AO2" s="1194"/>
      <c r="AP2" s="1194"/>
      <c r="AQ2" s="1194"/>
      <c r="AR2" s="1194"/>
      <c r="AS2" s="1194"/>
      <c r="AT2" s="1194"/>
      <c r="AU2" s="1194"/>
      <c r="AV2" s="1194"/>
      <c r="AW2" s="1194"/>
      <c r="AX2" s="1194"/>
      <c r="AY2" s="1194"/>
      <c r="AZ2" s="1194"/>
      <c r="BA2" s="1194"/>
      <c r="BB2" s="1194"/>
      <c r="BC2" s="1194"/>
      <c r="BD2" s="1194"/>
      <c r="BE2" s="1194"/>
      <c r="BF2" s="1194"/>
      <c r="BG2" s="1194"/>
      <c r="BH2" s="1194"/>
      <c r="BI2" s="1194"/>
      <c r="BJ2" s="1194"/>
      <c r="BK2" s="1194"/>
      <c r="BL2" s="1194"/>
      <c r="BM2" s="1194"/>
      <c r="BN2" s="1194"/>
      <c r="BO2" s="1194"/>
      <c r="BP2" s="1194"/>
      <c r="BQ2" s="1194"/>
      <c r="BR2" s="1194"/>
      <c r="BS2" s="1195" t="s">
        <v>362</v>
      </c>
      <c r="BT2" s="1196"/>
      <c r="BU2" s="1196"/>
      <c r="BV2" s="1196"/>
      <c r="BW2" s="1196"/>
      <c r="BX2" s="1196"/>
      <c r="BY2" s="1196"/>
      <c r="BZ2" s="1196"/>
      <c r="CA2" s="1196"/>
      <c r="CB2" s="1196"/>
      <c r="CC2" s="1196"/>
      <c r="CD2" s="1196"/>
      <c r="CE2" s="1196"/>
      <c r="CF2" s="1196"/>
      <c r="CG2" s="1196"/>
      <c r="CH2" s="1196"/>
      <c r="CI2" s="1196"/>
      <c r="CJ2" s="1196"/>
      <c r="CK2" s="1196"/>
      <c r="CL2" s="1196"/>
      <c r="CM2" s="1196"/>
      <c r="CN2" s="1196"/>
      <c r="CO2" s="1196"/>
      <c r="CP2" s="1196"/>
      <c r="CQ2" s="1196"/>
      <c r="CR2" s="1196"/>
      <c r="CS2" s="1196"/>
      <c r="CT2" s="1196"/>
      <c r="CU2" s="1196"/>
      <c r="CV2" s="1196"/>
      <c r="CW2" s="1196"/>
      <c r="CX2" s="1196"/>
      <c r="CY2" s="1196"/>
      <c r="CZ2" s="1196"/>
      <c r="DA2" s="1196"/>
      <c r="DB2" s="1196"/>
      <c r="DC2" s="1197" t="s">
        <v>99</v>
      </c>
      <c r="DD2" s="1198"/>
      <c r="DE2" s="1198"/>
      <c r="DF2" s="1198"/>
      <c r="DG2" s="1198"/>
      <c r="DH2" s="1198"/>
      <c r="DI2" s="1198"/>
      <c r="DJ2" s="1198"/>
      <c r="DK2" s="1198"/>
      <c r="DL2" s="1198"/>
      <c r="DM2" s="1198"/>
      <c r="DN2" s="1198"/>
      <c r="DO2" s="1198"/>
      <c r="DP2" s="1198"/>
      <c r="DQ2" s="1198"/>
      <c r="DR2" s="1198"/>
      <c r="DS2" s="1198"/>
      <c r="DT2" s="1198"/>
      <c r="DU2" s="1198"/>
      <c r="DV2" s="1198"/>
      <c r="DW2" s="1198"/>
      <c r="DX2" s="1198"/>
      <c r="DY2" s="1198"/>
      <c r="DZ2" s="1198"/>
      <c r="EA2" s="1198"/>
      <c r="EB2" s="1198"/>
      <c r="EC2" s="1198"/>
      <c r="ED2" s="1198"/>
      <c r="EE2" s="1198"/>
      <c r="EF2" s="1198"/>
      <c r="EG2" s="1198"/>
      <c r="EH2" s="1198"/>
      <c r="EI2" s="1198"/>
      <c r="EJ2" s="1198"/>
      <c r="EK2" s="1198"/>
      <c r="EL2" s="1198"/>
      <c r="EM2" s="1198"/>
      <c r="EN2" s="1198"/>
      <c r="EO2" s="1198"/>
      <c r="EP2" s="1198"/>
      <c r="EQ2" s="1198"/>
      <c r="ER2" s="1198"/>
      <c r="ES2" s="1198"/>
      <c r="ET2" s="1198"/>
      <c r="EU2" s="1198"/>
      <c r="EV2" s="1198"/>
      <c r="EW2" s="1198"/>
      <c r="EX2" s="1198"/>
      <c r="EY2" s="1198"/>
      <c r="EZ2" s="1198"/>
      <c r="FA2" s="1198"/>
      <c r="FB2" s="1198"/>
      <c r="FC2" s="1198"/>
      <c r="FD2" s="1198"/>
      <c r="FE2" s="1198"/>
      <c r="FF2" s="1198"/>
      <c r="FG2" s="1198"/>
      <c r="FH2" s="1198"/>
      <c r="FI2" s="1198"/>
      <c r="FJ2" s="1198"/>
      <c r="FK2" s="1198"/>
      <c r="FL2" s="1198"/>
      <c r="FM2" s="1198"/>
      <c r="FN2" s="1198"/>
      <c r="FO2" s="1198"/>
      <c r="FP2" s="1198"/>
      <c r="FQ2" s="1198"/>
      <c r="FR2" s="1198"/>
      <c r="FS2" s="1198"/>
      <c r="FT2" s="1198"/>
      <c r="FU2" s="1198"/>
      <c r="FV2" s="1198"/>
      <c r="FW2" s="1198"/>
      <c r="FX2" s="1198"/>
      <c r="FY2" s="1198"/>
      <c r="FZ2" s="1198"/>
      <c r="GA2" s="1185" t="s">
        <v>89</v>
      </c>
      <c r="GB2" s="1185"/>
      <c r="GC2" s="1185"/>
      <c r="GD2" s="1185"/>
      <c r="GE2" s="1186"/>
      <c r="GF2" s="1186"/>
      <c r="GG2" s="1186"/>
      <c r="GH2" s="1186"/>
      <c r="GI2" s="1186"/>
      <c r="GJ2" s="1130"/>
      <c r="GK2" s="1130"/>
    </row>
    <row r="3" spans="1:193" s="770" customFormat="1" ht="107.25" customHeight="1" thickBot="1">
      <c r="A3" s="1133"/>
      <c r="B3" s="1132" t="str">
        <f>San_Diego!B18</f>
        <v>Branch and independent libraries - exclude main library</v>
      </c>
      <c r="C3" s="1125" t="str">
        <f>San_Diego!B19</f>
        <v>Number of tenants in library (do not count in 1; branch &amp; independent libraries)</v>
      </c>
      <c r="D3" s="1125" t="str">
        <f>San_Diego!B20</f>
        <v>Number of study rooms in library (do not count in 1; branch &amp; independent libraries)</v>
      </c>
      <c r="E3" s="1125" t="str">
        <f>San_Diego!B21</f>
        <v>Number of meeting rooms in library (do not count in 1; branch &amp; independent libraries)</v>
      </c>
      <c r="F3" s="1125" t="str">
        <f>San_Diego!B22</f>
        <v>Number of classrooms and/or computer labs in library (do not count in 1; branch&amp;indep. Libs)</v>
      </c>
      <c r="G3" s="1125" t="str">
        <f>San_Diego!B26</f>
        <v>Librarians and other professional staff (sum of 2a-2d)</v>
      </c>
      <c r="H3" s="1125" t="str">
        <f>San_Diego!B27</f>
        <v>Librarians (FTE)</v>
      </c>
      <c r="I3" s="1125" t="str">
        <f>San_Diego!B28</f>
        <v>MPP (FTE) - Librarians</v>
      </c>
      <c r="J3" s="1125" t="str">
        <f>San_Diego!B29</f>
        <v>MPP (FTE) - NON-Librarians</v>
      </c>
      <c r="K3" s="1125" t="str">
        <f>San_Diego!B30</f>
        <v>Other professional staff</v>
      </c>
      <c r="L3" s="1103" t="s">
        <v>7</v>
      </c>
      <c r="M3" s="1103" t="s">
        <v>15</v>
      </c>
      <c r="N3" s="1103" t="s">
        <v>787</v>
      </c>
      <c r="O3" s="1103" t="s">
        <v>17</v>
      </c>
      <c r="P3" s="1103" t="s">
        <v>84</v>
      </c>
      <c r="Q3" s="1103" t="s">
        <v>788</v>
      </c>
      <c r="R3" s="1103" t="s">
        <v>150</v>
      </c>
      <c r="S3" s="1104" t="s">
        <v>789</v>
      </c>
      <c r="T3" s="1105" t="s">
        <v>790</v>
      </c>
      <c r="U3" s="1105" t="s">
        <v>19</v>
      </c>
      <c r="V3" s="1103" t="s">
        <v>151</v>
      </c>
      <c r="W3" s="1103" t="s">
        <v>248</v>
      </c>
      <c r="X3" s="1103" t="s">
        <v>109</v>
      </c>
      <c r="Y3" s="1103" t="s">
        <v>23</v>
      </c>
      <c r="Z3" s="1103" t="s">
        <v>24</v>
      </c>
      <c r="AA3" s="1103" t="s">
        <v>25</v>
      </c>
      <c r="AB3" s="1104" t="s">
        <v>791</v>
      </c>
      <c r="AC3" s="1103" t="s">
        <v>792</v>
      </c>
      <c r="AD3" s="1126" t="s">
        <v>249</v>
      </c>
      <c r="AE3" s="1106" t="s">
        <v>251</v>
      </c>
      <c r="AF3" s="1103" t="s">
        <v>28</v>
      </c>
      <c r="AG3" s="1103" t="s">
        <v>152</v>
      </c>
      <c r="AH3" s="1103" t="s">
        <v>29</v>
      </c>
      <c r="AI3" s="1106" t="s">
        <v>252</v>
      </c>
      <c r="AJ3" s="1103" t="s">
        <v>31</v>
      </c>
      <c r="AK3" s="1103" t="s">
        <v>206</v>
      </c>
      <c r="AL3" s="1103" t="s">
        <v>33</v>
      </c>
      <c r="AM3" s="1103" t="s">
        <v>35</v>
      </c>
      <c r="AN3" s="1103" t="s">
        <v>793</v>
      </c>
      <c r="AO3" s="1103" t="s">
        <v>216</v>
      </c>
      <c r="AP3" s="1104" t="s">
        <v>256</v>
      </c>
      <c r="AQ3" s="1103" t="s">
        <v>40</v>
      </c>
      <c r="AR3" s="1103" t="s">
        <v>41</v>
      </c>
      <c r="AS3" s="1104" t="s">
        <v>257</v>
      </c>
      <c r="AT3" s="1103" t="s">
        <v>881</v>
      </c>
      <c r="AU3" s="1108" t="s">
        <v>79</v>
      </c>
      <c r="AV3" s="1103" t="s">
        <v>44</v>
      </c>
      <c r="AW3" s="1103" t="s">
        <v>46</v>
      </c>
      <c r="AX3" s="1103" t="s">
        <v>882</v>
      </c>
      <c r="AY3" s="1127" t="s">
        <v>260</v>
      </c>
      <c r="AZ3" s="1104" t="s">
        <v>262</v>
      </c>
      <c r="BA3" s="1103" t="s">
        <v>883</v>
      </c>
      <c r="BB3" s="1103" t="s">
        <v>896</v>
      </c>
      <c r="BC3" s="1103" t="s">
        <v>794</v>
      </c>
      <c r="BD3" s="1103" t="s">
        <v>795</v>
      </c>
      <c r="BE3" s="1103" t="s">
        <v>884</v>
      </c>
      <c r="BF3" s="1104" t="s">
        <v>191</v>
      </c>
      <c r="BG3" s="1104" t="s">
        <v>267</v>
      </c>
      <c r="BH3" s="1103" t="s">
        <v>796</v>
      </c>
      <c r="BI3" s="1103" t="s">
        <v>48</v>
      </c>
      <c r="BJ3" s="1103" t="s">
        <v>797</v>
      </c>
      <c r="BK3" s="1103" t="s">
        <v>886</v>
      </c>
      <c r="BL3" s="1103" t="s">
        <v>106</v>
      </c>
      <c r="BM3" s="1103" t="s">
        <v>103</v>
      </c>
      <c r="BN3" s="1103" t="s">
        <v>798</v>
      </c>
      <c r="BO3" s="1104" t="s">
        <v>671</v>
      </c>
      <c r="BP3" s="1103" t="s">
        <v>49</v>
      </c>
      <c r="BQ3" s="1104" t="s">
        <v>887</v>
      </c>
      <c r="BR3" s="1104" t="s">
        <v>274</v>
      </c>
      <c r="BS3" s="1103" t="s">
        <v>53</v>
      </c>
      <c r="BT3" s="1103" t="s">
        <v>54</v>
      </c>
      <c r="BU3" s="1103" t="s">
        <v>799</v>
      </c>
      <c r="BV3" s="1103" t="s">
        <v>800</v>
      </c>
      <c r="BW3" s="1103" t="s">
        <v>801</v>
      </c>
      <c r="BX3" s="1103" t="s">
        <v>58</v>
      </c>
      <c r="BY3" s="1103" t="s">
        <v>802</v>
      </c>
      <c r="BZ3" s="1104" t="s">
        <v>278</v>
      </c>
      <c r="CA3" s="1103" t="s">
        <v>803</v>
      </c>
      <c r="CB3" s="1103" t="s">
        <v>804</v>
      </c>
      <c r="CC3" s="1104" t="s">
        <v>888</v>
      </c>
      <c r="CD3" s="1107" t="s">
        <v>280</v>
      </c>
      <c r="CE3" s="1103" t="s">
        <v>124</v>
      </c>
      <c r="CF3" s="1103" t="s">
        <v>125</v>
      </c>
      <c r="CG3" s="1106" t="s">
        <v>284</v>
      </c>
      <c r="CH3" s="1103" t="s">
        <v>126</v>
      </c>
      <c r="CI3" s="1103" t="s">
        <v>805</v>
      </c>
      <c r="CJ3" s="1103" t="s">
        <v>218</v>
      </c>
      <c r="CK3" s="1104" t="s">
        <v>289</v>
      </c>
      <c r="CL3" s="1103" t="s">
        <v>40</v>
      </c>
      <c r="CM3" s="1103" t="s">
        <v>41</v>
      </c>
      <c r="CN3" s="1103" t="s">
        <v>290</v>
      </c>
      <c r="CO3" s="1103" t="s">
        <v>37</v>
      </c>
      <c r="CP3" s="1103" t="s">
        <v>79</v>
      </c>
      <c r="CQ3" s="1103" t="s">
        <v>222</v>
      </c>
      <c r="CR3" s="1103" t="s">
        <v>293</v>
      </c>
      <c r="CS3" s="1103" t="s">
        <v>223</v>
      </c>
      <c r="CT3" s="1103" t="s">
        <v>224</v>
      </c>
      <c r="CU3" s="1103" t="s">
        <v>225</v>
      </c>
      <c r="CV3" s="1103" t="s">
        <v>197</v>
      </c>
      <c r="CW3" s="1103" t="s">
        <v>198</v>
      </c>
      <c r="CX3" s="1103" t="s">
        <v>199</v>
      </c>
      <c r="CY3" s="1103" t="s">
        <v>200</v>
      </c>
      <c r="CZ3" s="1103" t="s">
        <v>220</v>
      </c>
      <c r="DA3" s="1103" t="s">
        <v>221</v>
      </c>
      <c r="DB3" s="1104" t="s">
        <v>304</v>
      </c>
      <c r="DC3" s="1104" t="s">
        <v>811</v>
      </c>
      <c r="DD3" s="1104" t="s">
        <v>812</v>
      </c>
      <c r="DE3" s="1104" t="s">
        <v>895</v>
      </c>
      <c r="DF3" s="1104" t="s">
        <v>897</v>
      </c>
      <c r="DG3" s="1104" t="s">
        <v>894</v>
      </c>
      <c r="DH3" s="1104" t="s">
        <v>307</v>
      </c>
      <c r="DI3" s="1104" t="s">
        <v>813</v>
      </c>
      <c r="DJ3" s="1104" t="s">
        <v>814</v>
      </c>
      <c r="DK3" s="1104" t="s">
        <v>815</v>
      </c>
      <c r="DL3" s="1104" t="s">
        <v>310</v>
      </c>
      <c r="DM3" s="1104" t="s">
        <v>72</v>
      </c>
      <c r="DN3" s="1104" t="s">
        <v>73</v>
      </c>
      <c r="DO3" s="1104" t="s">
        <v>816</v>
      </c>
      <c r="DP3" s="1104" t="s">
        <v>311</v>
      </c>
      <c r="DQ3" s="1104" t="s">
        <v>817</v>
      </c>
      <c r="DR3" s="1104" t="s">
        <v>818</v>
      </c>
      <c r="DS3" s="1104" t="s">
        <v>819</v>
      </c>
      <c r="DT3" s="1104" t="s">
        <v>901</v>
      </c>
      <c r="DU3" s="1104" t="s">
        <v>74</v>
      </c>
      <c r="DV3" s="1104" t="s">
        <v>75</v>
      </c>
      <c r="DW3" s="1104" t="s">
        <v>315</v>
      </c>
      <c r="DX3" s="1104" t="s">
        <v>208</v>
      </c>
      <c r="DY3" s="1104" t="s">
        <v>209</v>
      </c>
      <c r="DZ3" s="1104" t="s">
        <v>820</v>
      </c>
      <c r="EA3" s="1104" t="s">
        <v>316</v>
      </c>
      <c r="EB3" s="1104" t="s">
        <v>76</v>
      </c>
      <c r="EC3" s="1104" t="s">
        <v>77</v>
      </c>
      <c r="ED3" s="1104" t="s">
        <v>78</v>
      </c>
      <c r="EE3" s="1104" t="s">
        <v>902</v>
      </c>
      <c r="EF3" s="1104" t="s">
        <v>74</v>
      </c>
      <c r="EG3" s="1104" t="s">
        <v>75</v>
      </c>
      <c r="EH3" s="1104" t="s">
        <v>898</v>
      </c>
      <c r="EI3" s="1104" t="s">
        <v>821</v>
      </c>
      <c r="EJ3" s="1104" t="s">
        <v>822</v>
      </c>
      <c r="EK3" s="1104" t="s">
        <v>823</v>
      </c>
      <c r="EL3" s="1104" t="s">
        <v>321</v>
      </c>
      <c r="EM3" s="1104" t="s">
        <v>76</v>
      </c>
      <c r="EN3" s="1104" t="s">
        <v>77</v>
      </c>
      <c r="EO3" s="1104" t="s">
        <v>78</v>
      </c>
      <c r="EP3" s="1104" t="s">
        <v>899</v>
      </c>
      <c r="EQ3" s="1104" t="s">
        <v>824</v>
      </c>
      <c r="ER3" s="1104" t="s">
        <v>825</v>
      </c>
      <c r="ES3" s="1104" t="s">
        <v>826</v>
      </c>
      <c r="ET3" s="1104" t="s">
        <v>900</v>
      </c>
      <c r="EU3" s="1104" t="s">
        <v>827</v>
      </c>
      <c r="EV3" s="1104" t="s">
        <v>828</v>
      </c>
      <c r="EW3" s="1104" t="s">
        <v>826</v>
      </c>
      <c r="EX3" s="1104" t="s">
        <v>203</v>
      </c>
      <c r="EY3" s="1106" t="s">
        <v>829</v>
      </c>
      <c r="EZ3" s="1104" t="s">
        <v>903</v>
      </c>
      <c r="FA3" s="1104" t="s">
        <v>904</v>
      </c>
      <c r="FB3" s="1104" t="s">
        <v>202</v>
      </c>
      <c r="FC3" s="1104" t="s">
        <v>328</v>
      </c>
      <c r="FD3" s="1104" t="s">
        <v>226</v>
      </c>
      <c r="FE3" s="1106" t="s">
        <v>557</v>
      </c>
      <c r="FF3" s="1104" t="s">
        <v>227</v>
      </c>
      <c r="FG3" s="1104" t="s">
        <v>558</v>
      </c>
      <c r="FH3" s="1104" t="s">
        <v>232</v>
      </c>
      <c r="FI3" s="1106" t="s">
        <v>559</v>
      </c>
      <c r="FJ3" s="1104" t="s">
        <v>233</v>
      </c>
      <c r="FK3" s="1104" t="s">
        <v>560</v>
      </c>
      <c r="FL3" s="1104" t="s">
        <v>806</v>
      </c>
      <c r="FM3" s="1104" t="s">
        <v>561</v>
      </c>
      <c r="FN3" s="1104" t="s">
        <v>235</v>
      </c>
      <c r="FO3" s="1104" t="s">
        <v>562</v>
      </c>
      <c r="FP3" s="1104" t="s">
        <v>918</v>
      </c>
      <c r="FQ3" s="1104" t="s">
        <v>563</v>
      </c>
      <c r="FR3" s="1104" t="s">
        <v>237</v>
      </c>
      <c r="FS3" s="1106" t="s">
        <v>916</v>
      </c>
      <c r="FT3" s="1104" t="s">
        <v>807</v>
      </c>
      <c r="FU3" s="1104" t="s">
        <v>115</v>
      </c>
      <c r="FV3" s="1104" t="s">
        <v>808</v>
      </c>
      <c r="FW3" s="1104" t="s">
        <v>116</v>
      </c>
      <c r="FX3" s="1104" t="s">
        <v>809</v>
      </c>
      <c r="FY3" s="1104" t="s">
        <v>810</v>
      </c>
      <c r="FZ3" s="1163"/>
      <c r="GA3" s="1123" t="s">
        <v>62</v>
      </c>
      <c r="GB3" s="1104" t="s">
        <v>63</v>
      </c>
      <c r="GC3" s="1124" t="s">
        <v>215</v>
      </c>
      <c r="GD3" s="1128" t="s">
        <v>541</v>
      </c>
      <c r="GE3" s="1128" t="s">
        <v>64</v>
      </c>
      <c r="GF3" s="1128" t="s">
        <v>65</v>
      </c>
      <c r="GG3" s="1128" t="s">
        <v>66</v>
      </c>
      <c r="GH3" s="1128" t="s">
        <v>67</v>
      </c>
      <c r="GI3" s="1128" t="s">
        <v>68</v>
      </c>
      <c r="GJ3" s="1128" t="s">
        <v>687</v>
      </c>
    </row>
    <row r="4" spans="1:193" ht="16.5" thickBot="1">
      <c r="A4" s="1184" t="s">
        <v>742</v>
      </c>
      <c r="B4" s="1112" t="s">
        <v>785</v>
      </c>
      <c r="C4" s="1110" t="s">
        <v>111</v>
      </c>
      <c r="D4" s="1110" t="s">
        <v>112</v>
      </c>
      <c r="E4" s="1110" t="s">
        <v>113</v>
      </c>
      <c r="F4" s="1110" t="s">
        <v>114</v>
      </c>
      <c r="G4" s="1111" t="s">
        <v>786</v>
      </c>
      <c r="H4" s="1111" t="s">
        <v>3</v>
      </c>
      <c r="I4" s="1110" t="s">
        <v>5</v>
      </c>
      <c r="J4" s="1111" t="s">
        <v>145</v>
      </c>
      <c r="K4" s="1102" t="s">
        <v>922</v>
      </c>
      <c r="L4" s="1111" t="s">
        <v>6</v>
      </c>
      <c r="M4" s="1110" t="s">
        <v>12</v>
      </c>
      <c r="N4" s="1110" t="s">
        <v>13</v>
      </c>
      <c r="O4" s="1111" t="s">
        <v>830</v>
      </c>
      <c r="P4" s="1110" t="s">
        <v>16</v>
      </c>
      <c r="Q4" s="1112" t="s">
        <v>831</v>
      </c>
      <c r="R4" s="1097" t="s">
        <v>147</v>
      </c>
      <c r="S4" s="1096" t="s">
        <v>832</v>
      </c>
      <c r="T4" s="1111" t="s">
        <v>833</v>
      </c>
      <c r="U4" s="1111" t="s">
        <v>11</v>
      </c>
      <c r="V4" s="1110" t="s">
        <v>18</v>
      </c>
      <c r="W4" s="1110" t="s">
        <v>247</v>
      </c>
      <c r="X4" s="1111" t="s">
        <v>834</v>
      </c>
      <c r="Y4" s="1111" t="s">
        <v>20</v>
      </c>
      <c r="Z4" s="1098" t="s">
        <v>21</v>
      </c>
      <c r="AA4" s="1097" t="s">
        <v>22</v>
      </c>
      <c r="AB4" s="1112"/>
      <c r="AC4" s="1112" t="s">
        <v>835</v>
      </c>
      <c r="AD4" s="1111" t="s">
        <v>836</v>
      </c>
      <c r="AE4" s="1111" t="s">
        <v>837</v>
      </c>
      <c r="AF4" s="1111" t="s">
        <v>30</v>
      </c>
      <c r="AG4" s="1111" t="s">
        <v>32</v>
      </c>
      <c r="AH4" s="1111" t="s">
        <v>34</v>
      </c>
      <c r="AI4" s="1112" t="s">
        <v>838</v>
      </c>
      <c r="AJ4" s="1111" t="s">
        <v>36</v>
      </c>
      <c r="AK4" s="1111" t="s">
        <v>38</v>
      </c>
      <c r="AL4" s="1111" t="s">
        <v>253</v>
      </c>
      <c r="AM4" s="1111" t="s">
        <v>39</v>
      </c>
      <c r="AN4" s="1110" t="s">
        <v>254</v>
      </c>
      <c r="AO4" s="1110" t="s">
        <v>255</v>
      </c>
      <c r="AP4" s="1111" t="s">
        <v>839</v>
      </c>
      <c r="AQ4" s="1111" t="s">
        <v>156</v>
      </c>
      <c r="AR4" s="1111" t="s">
        <v>157</v>
      </c>
      <c r="AS4" s="1111" t="s">
        <v>840</v>
      </c>
      <c r="AT4" s="1111" t="s">
        <v>42</v>
      </c>
      <c r="AU4" s="1111" t="s">
        <v>43</v>
      </c>
      <c r="AV4" s="1111" t="s">
        <v>45</v>
      </c>
      <c r="AW4" s="1111" t="s">
        <v>154</v>
      </c>
      <c r="AX4" s="1111" t="s">
        <v>259</v>
      </c>
      <c r="AY4" s="1111" t="s">
        <v>841</v>
      </c>
      <c r="AZ4" s="1111" t="s">
        <v>842</v>
      </c>
      <c r="BA4" s="1111" t="s">
        <v>876</v>
      </c>
      <c r="BB4" s="1111" t="s">
        <v>877</v>
      </c>
      <c r="BC4" s="1111" t="s">
        <v>878</v>
      </c>
      <c r="BD4" s="1111" t="s">
        <v>879</v>
      </c>
      <c r="BE4" s="1111" t="s">
        <v>880</v>
      </c>
      <c r="BF4" s="1111" t="s">
        <v>843</v>
      </c>
      <c r="BG4" s="1110" t="s">
        <v>844</v>
      </c>
      <c r="BH4" s="1097" t="s">
        <v>885</v>
      </c>
      <c r="BI4" s="1110" t="s">
        <v>269</v>
      </c>
      <c r="BJ4" s="1110" t="s">
        <v>270</v>
      </c>
      <c r="BK4" s="1099" t="s">
        <v>845</v>
      </c>
      <c r="BL4" s="1111" t="s">
        <v>846</v>
      </c>
      <c r="BM4" s="1111" t="s">
        <v>847</v>
      </c>
      <c r="BN4" s="1111" t="s">
        <v>848</v>
      </c>
      <c r="BO4" s="1111" t="s">
        <v>849</v>
      </c>
      <c r="BP4" s="1111" t="s">
        <v>108</v>
      </c>
      <c r="BQ4" s="1111" t="s">
        <v>850</v>
      </c>
      <c r="BR4" s="1111" t="s">
        <v>851</v>
      </c>
      <c r="BS4" s="1112" t="s">
        <v>91</v>
      </c>
      <c r="BT4" s="1111" t="s">
        <v>194</v>
      </c>
      <c r="BU4" s="1111" t="s">
        <v>195</v>
      </c>
      <c r="BV4" s="1111" t="s">
        <v>93</v>
      </c>
      <c r="BW4" s="1111" t="s">
        <v>275</v>
      </c>
      <c r="BX4" s="1111" t="s">
        <v>276</v>
      </c>
      <c r="BY4" s="1110" t="s">
        <v>277</v>
      </c>
      <c r="BZ4" s="1112" t="s">
        <v>852</v>
      </c>
      <c r="CA4" s="1111" t="s">
        <v>92</v>
      </c>
      <c r="CB4" s="1111" t="s">
        <v>94</v>
      </c>
      <c r="CC4" s="1111" t="s">
        <v>889</v>
      </c>
      <c r="CD4" s="1111" t="s">
        <v>196</v>
      </c>
      <c r="CE4" s="1111" t="s">
        <v>281</v>
      </c>
      <c r="CF4" s="1111" t="s">
        <v>282</v>
      </c>
      <c r="CG4" s="1111" t="s">
        <v>283</v>
      </c>
      <c r="CH4" s="1111" t="s">
        <v>285</v>
      </c>
      <c r="CI4" s="1111" t="s">
        <v>286</v>
      </c>
      <c r="CJ4" s="1111" t="s">
        <v>288</v>
      </c>
      <c r="CK4" s="1111" t="s">
        <v>853</v>
      </c>
      <c r="CL4" s="1111" t="s">
        <v>127</v>
      </c>
      <c r="CM4" s="1111" t="s">
        <v>129</v>
      </c>
      <c r="CN4" s="1113" t="s">
        <v>890</v>
      </c>
      <c r="CO4" s="1113" t="s">
        <v>165</v>
      </c>
      <c r="CP4" s="1113" t="s">
        <v>166</v>
      </c>
      <c r="CQ4" s="1113" t="s">
        <v>291</v>
      </c>
      <c r="CR4" s="1113" t="s">
        <v>292</v>
      </c>
      <c r="CS4" s="1113" t="s">
        <v>891</v>
      </c>
      <c r="CT4" s="1113" t="s">
        <v>892</v>
      </c>
      <c r="CU4" s="1113" t="s">
        <v>296</v>
      </c>
      <c r="CV4" s="1113" t="s">
        <v>298</v>
      </c>
      <c r="CW4" s="1113" t="s">
        <v>299</v>
      </c>
      <c r="CX4" s="1113" t="s">
        <v>300</v>
      </c>
      <c r="CY4" s="1113" t="s">
        <v>301</v>
      </c>
      <c r="CZ4" s="1113" t="s">
        <v>302</v>
      </c>
      <c r="DA4" s="1113" t="s">
        <v>303</v>
      </c>
      <c r="DB4" s="1101">
        <v>30</v>
      </c>
      <c r="DC4" s="1114" t="s">
        <v>169</v>
      </c>
      <c r="DD4" s="1114" t="s">
        <v>171</v>
      </c>
      <c r="DE4" s="1114" t="s">
        <v>893</v>
      </c>
      <c r="DF4" s="1114" t="s">
        <v>137</v>
      </c>
      <c r="DG4" s="1114" t="s">
        <v>138</v>
      </c>
      <c r="DH4" s="1111" t="s">
        <v>854</v>
      </c>
      <c r="DI4" s="1111" t="s">
        <v>308</v>
      </c>
      <c r="DJ4" s="1114" t="s">
        <v>309</v>
      </c>
      <c r="DK4" s="1111" t="s">
        <v>855</v>
      </c>
      <c r="DL4" s="1111" t="s">
        <v>856</v>
      </c>
      <c r="DM4" s="1114" t="s">
        <v>173</v>
      </c>
      <c r="DN4" s="1114" t="s">
        <v>175</v>
      </c>
      <c r="DO4" s="1114" t="s">
        <v>177</v>
      </c>
      <c r="DP4" s="1111" t="s">
        <v>921</v>
      </c>
      <c r="DQ4" s="1111" t="s">
        <v>312</v>
      </c>
      <c r="DR4" s="1114" t="s">
        <v>313</v>
      </c>
      <c r="DS4" s="1114" t="s">
        <v>314</v>
      </c>
      <c r="DT4" s="1111"/>
      <c r="DU4" s="1111" t="s">
        <v>857</v>
      </c>
      <c r="DV4" s="1111" t="s">
        <v>858</v>
      </c>
      <c r="DW4" s="1111" t="s">
        <v>860</v>
      </c>
      <c r="DX4" s="1111" t="s">
        <v>118</v>
      </c>
      <c r="DY4" s="1111" t="s">
        <v>119</v>
      </c>
      <c r="DZ4" s="1114" t="s">
        <v>859</v>
      </c>
      <c r="EA4" s="1111" t="s">
        <v>861</v>
      </c>
      <c r="EB4" s="1111" t="s">
        <v>317</v>
      </c>
      <c r="EC4" s="1111" t="s">
        <v>318</v>
      </c>
      <c r="ED4" s="1114" t="s">
        <v>319</v>
      </c>
      <c r="EE4" s="1111"/>
      <c r="EF4" s="1111" t="s">
        <v>862</v>
      </c>
      <c r="EG4" s="1111" t="s">
        <v>863</v>
      </c>
      <c r="EH4" s="1111" t="s">
        <v>864</v>
      </c>
      <c r="EI4" s="1111" t="s">
        <v>96</v>
      </c>
      <c r="EJ4" s="1111" t="s">
        <v>97</v>
      </c>
      <c r="EK4" s="1114" t="s">
        <v>98</v>
      </c>
      <c r="EL4" s="1111" t="s">
        <v>865</v>
      </c>
      <c r="EM4" s="1111" t="s">
        <v>100</v>
      </c>
      <c r="EN4" s="1111" t="s">
        <v>101</v>
      </c>
      <c r="EO4" s="1111" t="s">
        <v>102</v>
      </c>
      <c r="EP4" s="1111" t="s">
        <v>866</v>
      </c>
      <c r="EQ4" s="1111" t="s">
        <v>121</v>
      </c>
      <c r="ER4" s="1111" t="s">
        <v>122</v>
      </c>
      <c r="ES4" s="1114" t="s">
        <v>123</v>
      </c>
      <c r="ET4" s="1111" t="s">
        <v>867</v>
      </c>
      <c r="EU4" s="1111" t="s">
        <v>325</v>
      </c>
      <c r="EV4" s="1111" t="s">
        <v>326</v>
      </c>
      <c r="EW4" s="1114" t="s">
        <v>327</v>
      </c>
      <c r="EX4" s="1111" t="s">
        <v>868</v>
      </c>
      <c r="EY4" s="1111" t="s">
        <v>869</v>
      </c>
      <c r="EZ4" s="1111" t="s">
        <v>870</v>
      </c>
      <c r="FA4" s="1111" t="s">
        <v>871</v>
      </c>
      <c r="FB4" s="1111" t="s">
        <v>872</v>
      </c>
      <c r="FC4" s="1100" t="s">
        <v>873</v>
      </c>
      <c r="FD4" s="1100" t="s">
        <v>329</v>
      </c>
      <c r="FE4" s="1100" t="s">
        <v>330</v>
      </c>
      <c r="FF4" s="1100" t="s">
        <v>331</v>
      </c>
      <c r="FG4" s="1100" t="s">
        <v>332</v>
      </c>
      <c r="FH4" s="1100" t="s">
        <v>333</v>
      </c>
      <c r="FI4" s="1100" t="s">
        <v>334</v>
      </c>
      <c r="FJ4" s="1100" t="s">
        <v>335</v>
      </c>
      <c r="FK4" s="1100" t="s">
        <v>336</v>
      </c>
      <c r="FL4" s="1100" t="s">
        <v>337</v>
      </c>
      <c r="FM4" s="1100" t="s">
        <v>338</v>
      </c>
      <c r="FN4" s="1101" t="s">
        <v>339</v>
      </c>
      <c r="FO4" s="1100" t="s">
        <v>340</v>
      </c>
      <c r="FP4" s="1100" t="s">
        <v>341</v>
      </c>
      <c r="FQ4" s="1100" t="s">
        <v>914</v>
      </c>
      <c r="FR4" s="1100" t="s">
        <v>343</v>
      </c>
      <c r="FS4" s="1100" t="s">
        <v>344</v>
      </c>
      <c r="FT4" s="1100" t="s">
        <v>346</v>
      </c>
      <c r="FU4" s="1100" t="s">
        <v>347</v>
      </c>
      <c r="FV4" s="1100" t="s">
        <v>348</v>
      </c>
      <c r="FW4" s="1100" t="s">
        <v>349</v>
      </c>
      <c r="FX4" s="1100" t="s">
        <v>350</v>
      </c>
      <c r="FY4" s="1100" t="s">
        <v>351</v>
      </c>
      <c r="FZ4" s="1164"/>
      <c r="GA4" s="1111" t="s">
        <v>874</v>
      </c>
      <c r="GB4" s="1111" t="s">
        <v>875</v>
      </c>
      <c r="GC4" s="1111" t="s">
        <v>915</v>
      </c>
      <c r="GD4" s="1111" t="s">
        <v>917</v>
      </c>
      <c r="GE4" s="1111" t="s">
        <v>353</v>
      </c>
      <c r="GF4" s="1111" t="s">
        <v>354</v>
      </c>
      <c r="GG4" s="1111" t="s">
        <v>355</v>
      </c>
      <c r="GH4" s="1111" t="s">
        <v>356</v>
      </c>
      <c r="GI4" s="1111" t="s">
        <v>357</v>
      </c>
      <c r="GJ4" s="1179" t="s">
        <v>358</v>
      </c>
    </row>
    <row r="5" spans="1:193">
      <c r="A5" s="1095" t="s">
        <v>394</v>
      </c>
      <c r="B5" s="135">
        <f>Bakersfield!$C$18</f>
        <v>1</v>
      </c>
      <c r="C5" s="135">
        <f>Bakersfield!$C$19</f>
        <v>4</v>
      </c>
      <c r="D5" s="135">
        <f>Bakersfield!$C$20</f>
        <v>39</v>
      </c>
      <c r="E5" s="135">
        <f>Bakersfield!$C$21</f>
        <v>2</v>
      </c>
      <c r="F5" s="1165">
        <f>Bakersfield!$C$22</f>
        <v>2</v>
      </c>
      <c r="G5" s="1166">
        <f>Bakersfield!$C$26</f>
        <v>10.82</v>
      </c>
      <c r="H5" s="1166">
        <f>Bakersfield!$C$27</f>
        <v>7.82</v>
      </c>
      <c r="I5" s="1166">
        <f>Bakersfield!$C$28</f>
        <v>0</v>
      </c>
      <c r="J5" s="1166">
        <f>Bakersfield!$C$29</f>
        <v>3</v>
      </c>
      <c r="K5" s="1166">
        <f>Bakersfield!$C$30</f>
        <v>0</v>
      </c>
      <c r="L5" s="1166">
        <f>Bakersfield!$C$32</f>
        <v>10</v>
      </c>
      <c r="M5" s="1166">
        <f>Bakersfield!$C$33</f>
        <v>1</v>
      </c>
      <c r="N5" s="1166">
        <f>Bakersfield!$C$34</f>
        <v>1</v>
      </c>
      <c r="O5" s="1166">
        <f>Bakersfield!$C$36</f>
        <v>0</v>
      </c>
      <c r="P5" s="1166">
        <f>Bakersfield!$C$36</f>
        <v>0</v>
      </c>
      <c r="Q5" s="1166">
        <f>Bakersfield!$C$37</f>
        <v>2.59</v>
      </c>
      <c r="R5" s="1167">
        <f>Bakersfield!$C$38</f>
        <v>0.48</v>
      </c>
      <c r="S5" s="1166">
        <f>Bakersfield!$C$39</f>
        <v>25.41</v>
      </c>
      <c r="T5" s="1109">
        <f>Bakersfield!$C$44</f>
        <v>724632</v>
      </c>
      <c r="U5" s="1109">
        <f>Bakersfield!$C$45</f>
        <v>491232</v>
      </c>
      <c r="V5" s="1109">
        <f>Bakersfield!$C$46</f>
        <v>233400</v>
      </c>
      <c r="W5" s="1109">
        <f>Bakersfield!$C$47</f>
        <v>0</v>
      </c>
      <c r="X5" s="1109">
        <f>Bakersfield!$C$48</f>
        <v>512149</v>
      </c>
      <c r="Y5" s="1109">
        <f>Bakersfield!$C$49</f>
        <v>400634</v>
      </c>
      <c r="Z5" s="1109">
        <f>Bakersfield!$C$50</f>
        <v>41630</v>
      </c>
      <c r="AA5" s="1109">
        <f>Bakersfield!$C$51</f>
        <v>69885</v>
      </c>
      <c r="AB5" s="1109">
        <f>SUM(T5,X5)</f>
        <v>1236781</v>
      </c>
      <c r="AC5" s="1109">
        <f>Bakersfield!$C$52</f>
        <v>43162</v>
      </c>
      <c r="AD5" s="1109">
        <f>SUM(AB5:AC5)</f>
        <v>1279943</v>
      </c>
      <c r="AE5" s="1109">
        <f>SUM(AF5:AH5)</f>
        <v>69231</v>
      </c>
      <c r="AF5" s="1109">
        <f>Bakersfield!$C$57</f>
        <v>69231</v>
      </c>
      <c r="AG5" s="1109">
        <f>Bakersfield!$C$58</f>
        <v>0</v>
      </c>
      <c r="AH5" s="1109">
        <f>Bakersfield!$C$59</f>
        <v>0</v>
      </c>
      <c r="AI5" s="1109">
        <f>SUM(AJ5+AK5+AM5+AN5+AO5)</f>
        <v>247690</v>
      </c>
      <c r="AJ5" s="1109">
        <f>Bakersfield!$C$61</f>
        <v>36247</v>
      </c>
      <c r="AK5" s="1109">
        <f>Bakersfield!$C$62</f>
        <v>207824</v>
      </c>
      <c r="AL5" s="1109">
        <f>Bakersfield!$C$63</f>
        <v>51983</v>
      </c>
      <c r="AM5" s="1109">
        <f>Bakersfield!$C$64</f>
        <v>154</v>
      </c>
      <c r="AN5" s="1109">
        <f>Bakersfield!$C$65</f>
        <v>3465</v>
      </c>
      <c r="AO5" s="1109">
        <f>Bakersfield!$C$66</f>
        <v>0</v>
      </c>
      <c r="AP5" s="1109">
        <f t="shared" ref="AP5:AP29" si="0">SUM(AQ5:AR5)</f>
        <v>349</v>
      </c>
      <c r="AQ5" s="1109">
        <f>Bakersfield!$C$68</f>
        <v>0</v>
      </c>
      <c r="AR5" s="1109">
        <f>Bakersfield!$C$69</f>
        <v>349</v>
      </c>
      <c r="AS5" s="1109">
        <f>SUM(AT5:AX5)</f>
        <v>0</v>
      </c>
      <c r="AT5" s="1109">
        <f>Bakersfield!$C$71</f>
        <v>0</v>
      </c>
      <c r="AU5" s="1109">
        <f>Bakersfield!$C$72</f>
        <v>0</v>
      </c>
      <c r="AV5" s="1109">
        <f>Bakersfield!$C$73</f>
        <v>0</v>
      </c>
      <c r="AW5" s="1109">
        <f>Bakersfield!$C$74</f>
        <v>0</v>
      </c>
      <c r="AX5" s="1109">
        <f>Bakersfield!$C$75</f>
        <v>0</v>
      </c>
      <c r="AY5" s="1109">
        <f t="shared" ref="AY5:AY29" si="1">SUM(AE5,AI5,AP5,AS5)</f>
        <v>317270</v>
      </c>
      <c r="AZ5" s="1109">
        <f>SUM(BA5:BE5)</f>
        <v>8110</v>
      </c>
      <c r="BA5" s="1109">
        <f>Bakersfield!$C$81</f>
        <v>0</v>
      </c>
      <c r="BB5" s="1109">
        <f>Bakersfield!$C$82</f>
        <v>4426</v>
      </c>
      <c r="BC5" s="1109">
        <f>Bakersfield!$C$83</f>
        <v>137</v>
      </c>
      <c r="BD5" s="1109">
        <f>Bakersfield!$C$84</f>
        <v>100</v>
      </c>
      <c r="BE5" s="1109">
        <f>Bakersfield!$C$85</f>
        <v>3447</v>
      </c>
      <c r="BF5" s="1109" t="str">
        <f>Bakersfield!$C$86</f>
        <v>NA</v>
      </c>
      <c r="BG5" s="1109">
        <f>SUM(BH5:BJ5)</f>
        <v>2000</v>
      </c>
      <c r="BH5" s="1109">
        <f>Bakersfield!$C$88</f>
        <v>0</v>
      </c>
      <c r="BI5" s="1109">
        <f>Bakersfield!$C$89</f>
        <v>2000</v>
      </c>
      <c r="BJ5" s="1109">
        <f>Bakersfield!$C$90</f>
        <v>0</v>
      </c>
      <c r="BK5" s="1109">
        <f>Bakersfield!$C$91</f>
        <v>56025</v>
      </c>
      <c r="BL5" s="1109">
        <f>Bakersfield!$C$92</f>
        <v>43160.13</v>
      </c>
      <c r="BM5" s="1109">
        <f>Bakersfield!$C$93</f>
        <v>38420</v>
      </c>
      <c r="BN5" s="1109">
        <f>Bakersfield!$C$94</f>
        <v>234862</v>
      </c>
      <c r="BO5" s="1109">
        <f t="shared" ref="BO5:BO29" si="2">SUM(AD5,AY5,AZ5,BF5,BG5,BK5,BL5,BM5,BN5)</f>
        <v>1979790.13</v>
      </c>
      <c r="BP5" s="1109">
        <f>Bakersfield!$C$96</f>
        <v>565554</v>
      </c>
      <c r="BQ5" s="1109">
        <f>SUM(BO5:BP5)</f>
        <v>2545344.13</v>
      </c>
      <c r="BR5" s="1168">
        <f>SUM(BS5:BY5)</f>
        <v>483500</v>
      </c>
      <c r="BS5" s="1168">
        <f>Bakersfield!$E$104</f>
        <v>342634</v>
      </c>
      <c r="BT5" s="1168">
        <f>Bakersfield!$C$105</f>
        <v>2051</v>
      </c>
      <c r="BU5" s="1168">
        <f>Bakersfield!$C$106</f>
        <v>809</v>
      </c>
      <c r="BV5" s="1168">
        <f>Bakersfield!$E$107</f>
        <v>73981</v>
      </c>
      <c r="BW5" s="1168">
        <f>Bakersfield!$E$108</f>
        <v>7545</v>
      </c>
      <c r="BX5" s="1168">
        <f>Bakersfield!$E$109</f>
        <v>3803</v>
      </c>
      <c r="BY5" s="1168">
        <f>Bakersfield!$E$110</f>
        <v>52677</v>
      </c>
      <c r="BZ5" s="1168">
        <f>SUM(CA5:CB5)</f>
        <v>14701</v>
      </c>
      <c r="CA5" s="1168">
        <f>Bakersfield!$E$112</f>
        <v>0</v>
      </c>
      <c r="CB5" s="1168">
        <f>Bakersfield!$E$113</f>
        <v>14701</v>
      </c>
      <c r="CC5" s="1168">
        <f>SUM(CD5,CG5)</f>
        <v>34373</v>
      </c>
      <c r="CD5" s="1168">
        <f>SUM(CE5:CF5)</f>
        <v>26007</v>
      </c>
      <c r="CE5" s="1168">
        <f>Bakersfield!$E$117</f>
        <v>3541</v>
      </c>
      <c r="CF5" s="1168">
        <f>Bakersfield!$E$118</f>
        <v>22466</v>
      </c>
      <c r="CG5" s="1168">
        <f>SUM(CH5:CJ5)</f>
        <v>8366</v>
      </c>
      <c r="CH5" s="1168">
        <f>Bakersfield!$E$120</f>
        <v>0</v>
      </c>
      <c r="CI5" s="1168">
        <f>Bakersfield!$E$121</f>
        <v>7942</v>
      </c>
      <c r="CJ5" s="1168">
        <f>Bakersfield!$E$122</f>
        <v>424</v>
      </c>
      <c r="CK5" s="1168">
        <f>SUM(CL5:CM5)</f>
        <v>8240</v>
      </c>
      <c r="CL5" s="1168">
        <f>Bakersfield!$E$126</f>
        <v>2902</v>
      </c>
      <c r="CM5" s="1168">
        <f>Bakersfield!$E$127</f>
        <v>5338</v>
      </c>
      <c r="CN5" s="1168">
        <f>SUM(CO5:DA5)</f>
        <v>184323</v>
      </c>
      <c r="CO5" s="1168">
        <f>Bakersfield!$E$130</f>
        <v>2470</v>
      </c>
      <c r="CP5" s="1168">
        <f>Bakersfield!$E$131</f>
        <v>150</v>
      </c>
      <c r="CQ5" s="1168" t="str">
        <f>Bakersfield!$E$132</f>
        <v>NA</v>
      </c>
      <c r="CR5" s="1168">
        <f>SUM(CS5,CT5)</f>
        <v>87848</v>
      </c>
      <c r="CS5" s="1168">
        <f>Bakersfield!$E$134</f>
        <v>8673</v>
      </c>
      <c r="CT5" s="1168">
        <f>Bakersfield!$E$135</f>
        <v>79175</v>
      </c>
      <c r="CU5" s="1168">
        <f>Bakersfield!$E$136</f>
        <v>0</v>
      </c>
      <c r="CV5" s="1168">
        <f>Bakersfield!$E$138</f>
        <v>12</v>
      </c>
      <c r="CW5" s="1168">
        <f>Bakersfield!$E$139</f>
        <v>3378</v>
      </c>
      <c r="CX5" s="1168" t="str">
        <f>Bakersfield!$E$140</f>
        <v>NA</v>
      </c>
      <c r="CY5" s="1168" t="str">
        <f>Bakersfield!$E$141</f>
        <v>***</v>
      </c>
      <c r="CZ5" s="1168">
        <f>Bakersfield!$E$142</f>
        <v>2519</v>
      </c>
      <c r="DA5" s="1168">
        <f>Bakersfield!$E$143</f>
        <v>98</v>
      </c>
      <c r="DB5" s="1168">
        <f>SUM(DC5,DD5)</f>
        <v>5849719</v>
      </c>
      <c r="DC5" s="1168" t="str">
        <f>Bakersfield!$C$148</f>
        <v>NA</v>
      </c>
      <c r="DD5" s="1168">
        <f>Bakersfield!$C$149</f>
        <v>5849719</v>
      </c>
      <c r="DE5" s="1168">
        <f>SUM(DF5:DG5)</f>
        <v>0</v>
      </c>
      <c r="DF5" s="1168" t="str">
        <f>Bakersfield!$C$151</f>
        <v>NA</v>
      </c>
      <c r="DG5" s="1168" t="str">
        <f>Bakersfield!$C$152</f>
        <v>NA</v>
      </c>
      <c r="DH5" s="1168">
        <f>SUM(DI5,DJ5,DP5)</f>
        <v>58169</v>
      </c>
      <c r="DI5" s="1168">
        <f>Bakersfield!$C$156</f>
        <v>26198</v>
      </c>
      <c r="DJ5" s="1168">
        <f>Bakersfield!$C$157</f>
        <v>7708</v>
      </c>
      <c r="DK5" s="1168">
        <f>Bakersfield!$C$158</f>
        <v>27381</v>
      </c>
      <c r="DL5" s="1168">
        <f>SUM(DM5:DO5)</f>
        <v>500</v>
      </c>
      <c r="DM5" s="1168">
        <f>Bakersfield!$C$160</f>
        <v>200</v>
      </c>
      <c r="DN5" s="1168">
        <f>Bakersfield!$C$161</f>
        <v>300</v>
      </c>
      <c r="DO5" s="1168" t="str">
        <f>Bakersfield!$C$162</f>
        <v>NA</v>
      </c>
      <c r="DP5" s="1168">
        <f>SUM(DQ5:DS5)</f>
        <v>24263</v>
      </c>
      <c r="DQ5" s="1168">
        <f>Bakersfield!$C$164</f>
        <v>5783</v>
      </c>
      <c r="DR5" s="1168">
        <f>Bakersfield!$C$165</f>
        <v>18480</v>
      </c>
      <c r="DS5" s="1168" t="str">
        <f>Bakersfield!$C$166</f>
        <v>NA</v>
      </c>
      <c r="DT5" s="1168">
        <f>SUM(DU5,DV5)</f>
        <v>5462</v>
      </c>
      <c r="DU5" s="1168">
        <f>Bakersfield!$C$169</f>
        <v>1709</v>
      </c>
      <c r="DV5" s="1168">
        <f>Bakersfield!$C$170</f>
        <v>3753</v>
      </c>
      <c r="DW5" s="1168">
        <f>SUM(DX5,DY5,DZ5)</f>
        <v>5462</v>
      </c>
      <c r="DX5" s="1168">
        <f>Bakersfield!$C$172</f>
        <v>3547</v>
      </c>
      <c r="DY5" s="1168">
        <f>Bakersfield!$C$173</f>
        <v>348</v>
      </c>
      <c r="DZ5" s="1168">
        <f>Bakersfield!$C$174</f>
        <v>1567</v>
      </c>
      <c r="EA5" s="1168">
        <f>SUM(EB5,EC5,ED5)</f>
        <v>0</v>
      </c>
      <c r="EB5" s="1168">
        <f>Bakersfield!$C$176</f>
        <v>0</v>
      </c>
      <c r="EC5" s="1168">
        <f>Bakersfield!$C$177</f>
        <v>0</v>
      </c>
      <c r="ED5" s="1168">
        <f>Bakersfield!$C$178</f>
        <v>0</v>
      </c>
      <c r="EE5" s="1168">
        <f>SUM(EF5,EG5)</f>
        <v>3822</v>
      </c>
      <c r="EF5" s="1168">
        <f>Bakersfield!$C$181</f>
        <v>1711</v>
      </c>
      <c r="EG5" s="1168">
        <f>Bakersfield!$C$182</f>
        <v>2111</v>
      </c>
      <c r="EH5" s="1168">
        <f>SUM(EI5,EJ5,EK5)</f>
        <v>3822</v>
      </c>
      <c r="EI5" s="1168">
        <f>Bakersfield!$C$184</f>
        <v>2447</v>
      </c>
      <c r="EJ5" s="1168">
        <f>Bakersfield!$C$185</f>
        <v>323</v>
      </c>
      <c r="EK5" s="1168">
        <f>Bakersfield!$C$186</f>
        <v>1052</v>
      </c>
      <c r="EL5" s="1168">
        <f>SUM(EM5,EN5,EO5)</f>
        <v>0</v>
      </c>
      <c r="EM5" s="1168">
        <f>Bakersfield!$C$188</f>
        <v>0</v>
      </c>
      <c r="EN5" s="1168">
        <f>Bakersfield!$C$189</f>
        <v>0</v>
      </c>
      <c r="EO5" s="1168">
        <f>Bakersfield!$C$190</f>
        <v>0</v>
      </c>
      <c r="EP5" s="1168">
        <f>SUM(EQ5,ER5,ES5)</f>
        <v>307</v>
      </c>
      <c r="EQ5" s="1168">
        <f>Bakersfield!$C$195</f>
        <v>303</v>
      </c>
      <c r="ER5" s="1168">
        <f>Bakersfield!$C$196</f>
        <v>4</v>
      </c>
      <c r="ES5" s="1168" t="str">
        <f>Bakersfield!$C$197</f>
        <v>NA</v>
      </c>
      <c r="ET5" s="1168">
        <f>SUM(EU5,EV5,EW5)</f>
        <v>8575</v>
      </c>
      <c r="EU5" s="1168">
        <f>Bakersfield!$C$199</f>
        <v>8505</v>
      </c>
      <c r="EV5" s="1168">
        <f>Bakersfield!$C$200</f>
        <v>70</v>
      </c>
      <c r="EW5" s="1168" t="str">
        <f>Bakersfield!$C$201</f>
        <v>NA</v>
      </c>
      <c r="EX5" s="1168">
        <f>Bakersfield!$C$203</f>
        <v>1450</v>
      </c>
      <c r="EY5" s="1168">
        <f>Bakersfield!$C$204</f>
        <v>175</v>
      </c>
      <c r="EZ5" s="1168">
        <f>Bakersfield!$C$205</f>
        <v>105</v>
      </c>
      <c r="FA5" s="1168">
        <f>Bakersfield!$C$206</f>
        <v>465</v>
      </c>
      <c r="FB5" s="1168">
        <f>Bakersfield!$C$207</f>
        <v>495</v>
      </c>
      <c r="FC5" s="1168">
        <f>SUM(FD5:FS5)</f>
        <v>180</v>
      </c>
      <c r="FD5" s="1168">
        <f>Bakersfield!$E$212</f>
        <v>81</v>
      </c>
      <c r="FE5" s="1168">
        <f>Bakersfield!$E$213</f>
        <v>54</v>
      </c>
      <c r="FF5" s="1168">
        <f>Bakersfield!$E$214</f>
        <v>0</v>
      </c>
      <c r="FG5" s="1168">
        <f>Bakersfield!$E$215</f>
        <v>0</v>
      </c>
      <c r="FH5" s="1168">
        <f>Bakersfield!$E$216</f>
        <v>0</v>
      </c>
      <c r="FI5" s="1168">
        <f>Bakersfield!$E$217</f>
        <v>0</v>
      </c>
      <c r="FJ5" s="1168">
        <f>Bakersfield!$E$218</f>
        <v>23</v>
      </c>
      <c r="FK5" s="1168">
        <f>Bakersfield!$E$219</f>
        <v>0</v>
      </c>
      <c r="FL5" s="1168">
        <f>Bakersfield!$E$220</f>
        <v>11</v>
      </c>
      <c r="FM5" s="1168">
        <f>Bakersfield!$E$221</f>
        <v>11</v>
      </c>
      <c r="FN5" s="1168">
        <f>Bakersfield!$E$222</f>
        <v>0</v>
      </c>
      <c r="FO5" s="1168">
        <f>Bakersfield!$E$223</f>
        <v>0</v>
      </c>
      <c r="FP5" s="1168">
        <f>Bakersfield!$E$224</f>
        <v>0</v>
      </c>
      <c r="FQ5" s="1168">
        <f>Bakersfield!$E$225</f>
        <v>0</v>
      </c>
      <c r="FR5" s="1168">
        <f>Bakersfield!$E$226</f>
        <v>0</v>
      </c>
      <c r="FS5" s="1168">
        <f>Bakersfield!$E$227</f>
        <v>0</v>
      </c>
      <c r="FT5" s="1168" t="str">
        <f>Bakersfield!$C$230</f>
        <v>UNK</v>
      </c>
      <c r="FU5" s="1168" t="str">
        <f>Bakersfield!$C$231</f>
        <v>NA</v>
      </c>
      <c r="FV5" s="1168" t="str">
        <f>Bakersfield!$C$232</f>
        <v>UNK</v>
      </c>
      <c r="FW5" s="1168" t="str">
        <f>Bakersfield!$C$233</f>
        <v>NA</v>
      </c>
      <c r="FX5" s="1168" t="str">
        <f>Bakersfield!$C$234</f>
        <v>UNK</v>
      </c>
      <c r="FY5" s="1168" t="str">
        <f>Bakersfield!$C$235</f>
        <v>NA</v>
      </c>
      <c r="FZ5" s="135"/>
      <c r="GA5" s="1149">
        <f>Bakersfield!$C$239</f>
        <v>68</v>
      </c>
      <c r="GB5" s="1168">
        <f>Bakersfield!$C$240</f>
        <v>22520</v>
      </c>
      <c r="GC5" s="1168">
        <f>Bakersfield!$C$241</f>
        <v>102</v>
      </c>
      <c r="GD5" s="1168">
        <f>SUM(GE5:GJ5)</f>
        <v>844</v>
      </c>
      <c r="GE5" s="1168">
        <f>Bakersfield!$G$246</f>
        <v>388</v>
      </c>
      <c r="GF5" s="1168">
        <f>Bakersfield!$G$247</f>
        <v>0</v>
      </c>
      <c r="GG5" s="1168">
        <f>Bakersfield!$G$248</f>
        <v>55</v>
      </c>
      <c r="GH5" s="1168">
        <f>Bakersfield!$G$249</f>
        <v>60</v>
      </c>
      <c r="GI5" s="1168">
        <f>Bakersfield!$G$250</f>
        <v>39</v>
      </c>
      <c r="GJ5" s="1180">
        <f>Bakersfield!$G$251</f>
        <v>302</v>
      </c>
      <c r="GK5" s="63"/>
    </row>
    <row r="6" spans="1:193">
      <c r="A6" s="1095" t="s">
        <v>750</v>
      </c>
      <c r="B6" s="135">
        <f>Channel_Islands!$C$18</f>
        <v>0</v>
      </c>
      <c r="C6" s="135">
        <f>Channel_Islands!$C$19</f>
        <v>6</v>
      </c>
      <c r="D6" s="135">
        <f>Channel_Islands!$C$20</f>
        <v>22</v>
      </c>
      <c r="E6" s="135">
        <f>Channel_Islands!$C$21</f>
        <v>4</v>
      </c>
      <c r="F6" s="1165">
        <f>Channel_Islands!$C$22</f>
        <v>15</v>
      </c>
      <c r="G6" s="1166">
        <f>Channel_Islands!$C$26</f>
        <v>9</v>
      </c>
      <c r="H6" s="1166">
        <f>Channel_Islands!$C$27</f>
        <v>8</v>
      </c>
      <c r="I6" s="1166">
        <f>Channel_Islands!$C$28</f>
        <v>1</v>
      </c>
      <c r="J6" s="1166">
        <f>Channel_Islands!$C$29</f>
        <v>0</v>
      </c>
      <c r="K6" s="1166">
        <f>Channel_Islands!$C$30</f>
        <v>0</v>
      </c>
      <c r="L6" s="1166">
        <f>Channel_Islands!$C$32</f>
        <v>9</v>
      </c>
      <c r="M6" s="1166">
        <f>Channel_Islands!$C$33</f>
        <v>2</v>
      </c>
      <c r="N6" s="1166">
        <f>Channel_Islands!$C$34</f>
        <v>0</v>
      </c>
      <c r="O6" s="1166">
        <f>Channel_Islands!$C$35</f>
        <v>0</v>
      </c>
      <c r="P6" s="1166">
        <f>Channel_Islands!$C$36</f>
        <v>0</v>
      </c>
      <c r="Q6" s="1166">
        <f>Channel_Islands!$C$37</f>
        <v>4.04</v>
      </c>
      <c r="R6" s="1167">
        <f>Channel_Islands!$C$38</f>
        <v>0.1744</v>
      </c>
      <c r="S6" s="1166">
        <f>Channel_Islands!$C$39</f>
        <v>24.04</v>
      </c>
      <c r="T6" s="1109">
        <f>Channel_Islands!$C$44</f>
        <v>622205</v>
      </c>
      <c r="U6" s="1109">
        <f>Channel_Islands!$C$45</f>
        <v>500571</v>
      </c>
      <c r="V6" s="1109">
        <f>Channel_Islands!$C$46</f>
        <v>121634</v>
      </c>
      <c r="W6" s="1109">
        <f>Channel_Islands!$C$47</f>
        <v>0</v>
      </c>
      <c r="X6" s="1109">
        <f>Channel_Islands!$C$48</f>
        <v>420328</v>
      </c>
      <c r="Y6" s="1109">
        <f>Channel_Islands!$C$49</f>
        <v>331798</v>
      </c>
      <c r="Z6" s="1109">
        <f>Channel_Islands!$C$50</f>
        <v>88530</v>
      </c>
      <c r="AA6" s="1109">
        <f>Channel_Islands!$C$51</f>
        <v>0</v>
      </c>
      <c r="AB6" s="1109">
        <f t="shared" ref="AB6:AB27" si="3">SUM(T6,X6)</f>
        <v>1042533</v>
      </c>
      <c r="AC6" s="1109">
        <f>Channel_Islands!$C$52</f>
        <v>73421</v>
      </c>
      <c r="AD6" s="1109">
        <f t="shared" ref="AD6:AD29" si="4">SUM(AB6:AC6)</f>
        <v>1115954</v>
      </c>
      <c r="AE6" s="1109">
        <f t="shared" ref="AE6:AE29" si="5">SUM(AF6:AH6)</f>
        <v>71779</v>
      </c>
      <c r="AF6" s="1109">
        <f>Channel_Islands!$C$57</f>
        <v>71779</v>
      </c>
      <c r="AG6" s="1109">
        <f>Channel_Islands!$C$58</f>
        <v>0</v>
      </c>
      <c r="AH6" s="1109">
        <f>Channel_Islands!$C$59</f>
        <v>0</v>
      </c>
      <c r="AI6" s="1109">
        <f t="shared" ref="AI6:AI27" si="6">SUM(AJ6+AK6+AM6+AN6+AO6)</f>
        <v>204449</v>
      </c>
      <c r="AJ6" s="1109">
        <f>Channel_Islands!$C$61</f>
        <v>3070</v>
      </c>
      <c r="AK6" s="1109">
        <f>Channel_Islands!$C$62</f>
        <v>201379</v>
      </c>
      <c r="AL6" s="1109">
        <f>Channel_Islands!$C$63</f>
        <v>0</v>
      </c>
      <c r="AM6" s="1109">
        <f>Channel_Islands!$C$64</f>
        <v>0</v>
      </c>
      <c r="AN6" s="1109">
        <f>Channel_Islands!$C$65</f>
        <v>0</v>
      </c>
      <c r="AO6" s="1109">
        <f>Channel_Islands!$C$66</f>
        <v>0</v>
      </c>
      <c r="AP6" s="1109">
        <f t="shared" si="0"/>
        <v>9944</v>
      </c>
      <c r="AQ6" s="1109">
        <f>Channel_Islands!$C$68</f>
        <v>0</v>
      </c>
      <c r="AR6" s="1109">
        <f>Channel_Islands!$C$69</f>
        <v>9944</v>
      </c>
      <c r="AS6" s="1109">
        <f t="shared" ref="AS6:AS29" si="7">SUM(AT6:AX6)</f>
        <v>0</v>
      </c>
      <c r="AT6" s="1109">
        <f>Channel_Islands!$C$71</f>
        <v>0</v>
      </c>
      <c r="AU6" s="1109">
        <f>Channel_Islands!$C$72</f>
        <v>0</v>
      </c>
      <c r="AV6" s="1109">
        <f>Channel_Islands!$C$73</f>
        <v>0</v>
      </c>
      <c r="AW6" s="1109">
        <f>Channel_Islands!$C$74</f>
        <v>0</v>
      </c>
      <c r="AX6" s="1109">
        <f>Channel_Islands!$C$75</f>
        <v>0</v>
      </c>
      <c r="AY6" s="1109">
        <f t="shared" si="1"/>
        <v>286172</v>
      </c>
      <c r="AZ6" s="1109">
        <f t="shared" ref="AZ6:AZ29" si="8">SUM(BA6:BE6)</f>
        <v>14342</v>
      </c>
      <c r="BA6" s="1109">
        <f>Channel_Islands!$C$81</f>
        <v>6371</v>
      </c>
      <c r="BB6" s="1109">
        <f>Channel_Islands!$C$82</f>
        <v>4422</v>
      </c>
      <c r="BC6" s="1109">
        <f>Channel_Islands!$C$83</f>
        <v>3192</v>
      </c>
      <c r="BD6" s="1109">
        <f>Channel_Islands!$C$84</f>
        <v>0</v>
      </c>
      <c r="BE6" s="1109">
        <f>Channel_Islands!$C$85</f>
        <v>357</v>
      </c>
      <c r="BF6" s="1109">
        <f>Channel_Islands!$C$86</f>
        <v>0</v>
      </c>
      <c r="BG6" s="1109">
        <f t="shared" ref="BG6:BG29" si="9">SUM(BH6:BJ6)</f>
        <v>4467</v>
      </c>
      <c r="BH6" s="1109">
        <f>Channel_Islands!$C$88</f>
        <v>0</v>
      </c>
      <c r="BI6" s="1109">
        <f>Channel_Islands!$C$89</f>
        <v>4300</v>
      </c>
      <c r="BJ6" s="1109">
        <f>Channel_Islands!$C$90</f>
        <v>167</v>
      </c>
      <c r="BK6" s="1109" t="str">
        <f>Channel_Islands!$C$91</f>
        <v>$</v>
      </c>
      <c r="BL6" s="1109">
        <f>Channel_Islands!$C$92</f>
        <v>2237</v>
      </c>
      <c r="BM6" s="1109">
        <f>Channel_Islands!$C$93</f>
        <v>44629</v>
      </c>
      <c r="BN6" s="1109">
        <f>Channel_Islands!$C$94</f>
        <v>91800</v>
      </c>
      <c r="BO6" s="1109">
        <f t="shared" si="2"/>
        <v>1559601</v>
      </c>
      <c r="BP6" s="1109">
        <f>Channel_Islands!$C$96</f>
        <v>365910</v>
      </c>
      <c r="BQ6" s="1109">
        <f t="shared" ref="BQ6:BQ29" si="10">SUM(BO6:BP6)</f>
        <v>1925511</v>
      </c>
      <c r="BR6" s="1168">
        <f t="shared" ref="BR6:BR29" si="11">SUM(BS6:BY6)</f>
        <v>83145</v>
      </c>
      <c r="BS6" s="1168">
        <f>Channel_Islands!$E$104</f>
        <v>72275</v>
      </c>
      <c r="BT6" s="1168">
        <f>Channel_Islands!$C$105</f>
        <v>1161</v>
      </c>
      <c r="BU6" s="1168">
        <f>Channel_Islands!$C$106</f>
        <v>3345</v>
      </c>
      <c r="BV6" s="1168">
        <f>Channel_Islands!$E$107</f>
        <v>0</v>
      </c>
      <c r="BW6" s="1168">
        <f>Channel_Islands!$E$108</f>
        <v>5964</v>
      </c>
      <c r="BX6" s="1168">
        <f>Channel_Islands!$E$109</f>
        <v>400</v>
      </c>
      <c r="BY6" s="1168">
        <f>Channel_Islands!$E$110</f>
        <v>0</v>
      </c>
      <c r="BZ6" s="1168">
        <f t="shared" ref="BZ6:BZ29" si="12">SUM(CA6:CB6)</f>
        <v>456722</v>
      </c>
      <c r="CA6" s="1168">
        <f>Channel_Islands!$E$112</f>
        <v>126722</v>
      </c>
      <c r="CB6" s="1168">
        <f>Channel_Islands!$E$113</f>
        <v>330000</v>
      </c>
      <c r="CC6" s="1168">
        <f t="shared" ref="CC6:CC29" si="13">SUM(CD6,CG6)</f>
        <v>11127</v>
      </c>
      <c r="CD6" s="1168">
        <f t="shared" ref="CD6:CD29" si="14">SUM(CE6:CF6)</f>
        <v>11127</v>
      </c>
      <c r="CE6" s="1168">
        <f>Channel_Islands!$E$117</f>
        <v>60</v>
      </c>
      <c r="CF6" s="1168">
        <f>Channel_Islands!$E$118</f>
        <v>11067</v>
      </c>
      <c r="CG6" s="1168">
        <f t="shared" ref="CG6:CG29" si="15">SUM(CH6:CJ6)</f>
        <v>0</v>
      </c>
      <c r="CH6" s="1168">
        <f>Channel_Islands!$E$120</f>
        <v>0</v>
      </c>
      <c r="CI6" s="1168" t="str">
        <f>Channel_Islands!$E$121</f>
        <v>UNK</v>
      </c>
      <c r="CJ6" s="1168">
        <f>Channel_Islands!$E$122</f>
        <v>0</v>
      </c>
      <c r="CK6" s="1168">
        <f t="shared" ref="CK6:CK29" si="16">SUM(CL6:CM6)</f>
        <v>2464</v>
      </c>
      <c r="CL6" s="1168">
        <f>Channel_Islands!$E$126</f>
        <v>894</v>
      </c>
      <c r="CM6" s="1168">
        <f>Channel_Islands!$E$127</f>
        <v>1570</v>
      </c>
      <c r="CN6" s="1168">
        <f t="shared" ref="CN6:CN29" si="17">SUM(CO6:DA6)</f>
        <v>37388</v>
      </c>
      <c r="CO6" s="1168">
        <f>Channel_Islands!$E$130</f>
        <v>1750</v>
      </c>
      <c r="CP6" s="1168">
        <f>Channel_Islands!$E$131</f>
        <v>0</v>
      </c>
      <c r="CQ6" s="1168">
        <f>Channel_Islands!$E$132</f>
        <v>0</v>
      </c>
      <c r="CR6" s="1168">
        <f t="shared" ref="CR6:CR29" si="18">SUM(CS6,CT6)</f>
        <v>0</v>
      </c>
      <c r="CS6" s="1168">
        <f>Channel_Islands!$E$134</f>
        <v>0</v>
      </c>
      <c r="CT6" s="1168">
        <f>Channel_Islands!$E$135</f>
        <v>0</v>
      </c>
      <c r="CU6" s="1168">
        <f>Channel_Islands!$E$136</f>
        <v>0</v>
      </c>
      <c r="CV6" s="1168" t="str">
        <f>Channel_Islands!$E$138</f>
        <v>UNK</v>
      </c>
      <c r="CW6" s="1168">
        <f>Channel_Islands!$E$139</f>
        <v>35322</v>
      </c>
      <c r="CX6" s="1168">
        <f>Channel_Islands!$E$140</f>
        <v>316</v>
      </c>
      <c r="CY6" s="1168" t="str">
        <f>Channel_Islands!$E$141</f>
        <v>***</v>
      </c>
      <c r="CZ6" s="1168">
        <f>Channel_Islands!$E$142</f>
        <v>0</v>
      </c>
      <c r="DA6" s="1168">
        <f>Channel_Islands!$E$143</f>
        <v>0</v>
      </c>
      <c r="DB6" s="1168">
        <f t="shared" ref="DB6:DB29" si="19">SUM(DC6,DD6)</f>
        <v>309085</v>
      </c>
      <c r="DC6" s="1168">
        <f>Channel_Islands!$C$148</f>
        <v>264579</v>
      </c>
      <c r="DD6" s="1168">
        <f>Channel_Islands!$C$149</f>
        <v>44506</v>
      </c>
      <c r="DE6" s="1168">
        <f t="shared" ref="DE6:DE29" si="20">SUM(DF6:DG6)</f>
        <v>1288125</v>
      </c>
      <c r="DF6" s="1168">
        <f>Channel_Islands!$C$151</f>
        <v>462295</v>
      </c>
      <c r="DG6" s="1168">
        <f>Channel_Islands!$C$152</f>
        <v>825830</v>
      </c>
      <c r="DH6" s="1168">
        <f t="shared" ref="DH6:DH29" si="21">SUM(DI6,DJ6,DP6)</f>
        <v>40472</v>
      </c>
      <c r="DI6" s="1168">
        <f>Channel_Islands!$C$156</f>
        <v>35243</v>
      </c>
      <c r="DJ6" s="1168" t="str">
        <f>Channel_Islands!$C$157</f>
        <v>UNK</v>
      </c>
      <c r="DK6" s="1168" t="str">
        <f>Channel_Islands!$C$158</f>
        <v>UNK</v>
      </c>
      <c r="DL6" s="1168">
        <f t="shared" ref="DL6:DL29" si="22">SUM(DM6:DO6)</f>
        <v>0</v>
      </c>
      <c r="DM6" s="1168" t="str">
        <f>Channel_Islands!$C$160</f>
        <v>UNK</v>
      </c>
      <c r="DN6" s="1168" t="str">
        <f>Channel_Islands!$C$161</f>
        <v>UNK</v>
      </c>
      <c r="DO6" s="1168" t="str">
        <f>Channel_Islands!$C$162</f>
        <v>UNK</v>
      </c>
      <c r="DP6" s="1168">
        <f t="shared" ref="DP6:DP29" si="23">SUM(DQ6:DS6)</f>
        <v>5229</v>
      </c>
      <c r="DQ6" s="1168">
        <f>Channel_Islands!$C$164</f>
        <v>5229</v>
      </c>
      <c r="DR6" s="1168">
        <f>Channel_Islands!$C$165</f>
        <v>0</v>
      </c>
      <c r="DS6" s="1168" t="str">
        <f>Channel_Islands!$C$166</f>
        <v>UNK</v>
      </c>
      <c r="DT6" s="1168">
        <f t="shared" ref="DT6:DT29" si="24">SUM(DU6,DV6)</f>
        <v>1347</v>
      </c>
      <c r="DU6" s="1168">
        <f>Channel_Islands!$C$169</f>
        <v>1084</v>
      </c>
      <c r="DV6" s="1168">
        <f>Channel_Islands!$C$170</f>
        <v>263</v>
      </c>
      <c r="DW6" s="1168">
        <f t="shared" ref="DW6:DW29" si="25">SUM(DX6,DY6,DZ6)</f>
        <v>1347</v>
      </c>
      <c r="DX6" s="1168">
        <f>Channel_Islands!$C$172</f>
        <v>697</v>
      </c>
      <c r="DY6" s="1168">
        <f>Channel_Islands!$C$173</f>
        <v>46</v>
      </c>
      <c r="DZ6" s="1168">
        <f>Channel_Islands!$C$174</f>
        <v>604</v>
      </c>
      <c r="EA6" s="1168">
        <f t="shared" ref="EA6:EA29" si="26">SUM(EB6,EC6,ED6)</f>
        <v>0</v>
      </c>
      <c r="EB6" s="1168" t="str">
        <f>Channel_Islands!$C$176</f>
        <v>UNK</v>
      </c>
      <c r="EC6" s="1168" t="str">
        <f>Channel_Islands!$C$177</f>
        <v>UNK</v>
      </c>
      <c r="ED6" s="1168" t="str">
        <f>Channel_Islands!$C$178</f>
        <v>UNK</v>
      </c>
      <c r="EE6" s="1168">
        <f t="shared" ref="EE6:EE29" si="27">SUM(EF6,EG6)</f>
        <v>3579</v>
      </c>
      <c r="EF6" s="1168">
        <f>Channel_Islands!$C$181</f>
        <v>1780</v>
      </c>
      <c r="EG6" s="1168">
        <f>Channel_Islands!$C$182</f>
        <v>1799</v>
      </c>
      <c r="EH6" s="1168">
        <f t="shared" ref="EH6:EH29" si="28">SUM(EI6,EJ6,EK6)</f>
        <v>3579</v>
      </c>
      <c r="EI6" s="1168">
        <f>Channel_Islands!$C$184</f>
        <v>2775</v>
      </c>
      <c r="EJ6" s="1168">
        <f>Channel_Islands!$C$185</f>
        <v>45</v>
      </c>
      <c r="EK6" s="1168">
        <f>Channel_Islands!$C$186</f>
        <v>759</v>
      </c>
      <c r="EL6" s="1168">
        <f t="shared" ref="EL6:EL29" si="29">SUM(EM6,EN6,EO6)</f>
        <v>0</v>
      </c>
      <c r="EM6" s="1168" t="str">
        <f>Channel_Islands!$C$188</f>
        <v>UNK</v>
      </c>
      <c r="EN6" s="1168" t="str">
        <f>Channel_Islands!$C$189</f>
        <v>UNK</v>
      </c>
      <c r="EO6" s="1168" t="str">
        <f>Channel_Islands!$C$190</f>
        <v>UNK</v>
      </c>
      <c r="EP6" s="1168">
        <f t="shared" ref="EP6:EP29" si="30">SUM(EQ6,ER6,ES6)</f>
        <v>140</v>
      </c>
      <c r="EQ6" s="1168">
        <f>Channel_Islands!$C$195</f>
        <v>135</v>
      </c>
      <c r="ER6" s="1168">
        <f>Channel_Islands!$C$196</f>
        <v>5</v>
      </c>
      <c r="ES6" s="1168">
        <f>Channel_Islands!$C$197</f>
        <v>0</v>
      </c>
      <c r="ET6" s="1168">
        <f t="shared" ref="ET6:ET29" si="31">SUM(EU6,EV6,EW6)</f>
        <v>2872</v>
      </c>
      <c r="EU6" s="1168">
        <f>Channel_Islands!$C$199</f>
        <v>2808</v>
      </c>
      <c r="EV6" s="1168">
        <f>Channel_Islands!$C$200</f>
        <v>64</v>
      </c>
      <c r="EW6" s="1168">
        <f>Channel_Islands!$C$201</f>
        <v>0</v>
      </c>
      <c r="EX6" s="1168">
        <f>Channel_Islands!$C$203</f>
        <v>90</v>
      </c>
      <c r="EY6" s="1168">
        <f>Channel_Islands!$C$204</f>
        <v>35</v>
      </c>
      <c r="EZ6" s="1168">
        <f>Channel_Islands!$C$205</f>
        <v>3</v>
      </c>
      <c r="FA6" s="1168">
        <f>Channel_Islands!$C$206</f>
        <v>50</v>
      </c>
      <c r="FB6" s="1168" t="str">
        <f>Channel_Islands!$C$207</f>
        <v>UNK</v>
      </c>
      <c r="FC6" s="1168">
        <f t="shared" ref="FC6:FC29" si="32">SUM(FD6:FS6)</f>
        <v>277</v>
      </c>
      <c r="FD6" s="1168">
        <f>Channel_Islands!$E$212</f>
        <v>119</v>
      </c>
      <c r="FE6" s="1168">
        <f>Channel_Islands!$E$213</f>
        <v>0</v>
      </c>
      <c r="FF6" s="1168">
        <f>Channel_Islands!$E$214</f>
        <v>65</v>
      </c>
      <c r="FG6" s="1168">
        <f>Channel_Islands!$E$215</f>
        <v>0</v>
      </c>
      <c r="FH6" s="1168">
        <f>Channel_Islands!$E$216</f>
        <v>4</v>
      </c>
      <c r="FI6" s="1168">
        <f>Channel_Islands!$E$217</f>
        <v>0</v>
      </c>
      <c r="FJ6" s="1168">
        <f>Channel_Islands!$E$218</f>
        <v>25</v>
      </c>
      <c r="FK6" s="1168">
        <f>Channel_Islands!$E$219</f>
        <v>0</v>
      </c>
      <c r="FL6" s="1168">
        <f>Channel_Islands!$E$220</f>
        <v>7</v>
      </c>
      <c r="FM6" s="1168">
        <f>Channel_Islands!$E$221</f>
        <v>0</v>
      </c>
      <c r="FN6" s="1168">
        <f>Channel_Islands!$E$222</f>
        <v>48</v>
      </c>
      <c r="FO6" s="1168">
        <f>Channel_Islands!$E$223</f>
        <v>0</v>
      </c>
      <c r="FP6" s="1168">
        <f>Channel_Islands!$E$224</f>
        <v>2</v>
      </c>
      <c r="FQ6" s="1168">
        <f>Channel_Islands!$E$225</f>
        <v>0</v>
      </c>
      <c r="FR6" s="1168">
        <f>Channel_Islands!$E$226</f>
        <v>7</v>
      </c>
      <c r="FS6" s="1168">
        <f>Channel_Islands!$E$227</f>
        <v>0</v>
      </c>
      <c r="FT6" s="1168" t="str">
        <f>Channel_Islands!$C$230</f>
        <v>UNK</v>
      </c>
      <c r="FU6" s="1168" t="str">
        <f>Channel_Islands!$C$231</f>
        <v>UNK</v>
      </c>
      <c r="FV6" s="1168" t="str">
        <f>Channel_Islands!$C$232</f>
        <v>UNK</v>
      </c>
      <c r="FW6" s="1168" t="str">
        <f>Channel_Islands!$C$233</f>
        <v>UNK</v>
      </c>
      <c r="FX6" s="1168" t="str">
        <f>Channel_Islands!$C$234</f>
        <v>UNK</v>
      </c>
      <c r="FY6" s="1168" t="str">
        <f>Channel_Islands!$C$235</f>
        <v>UNK</v>
      </c>
      <c r="FZ6" s="135"/>
      <c r="GA6" s="1146">
        <f>Channel_Islands!$C$239</f>
        <v>74</v>
      </c>
      <c r="GB6" s="1168">
        <f>Channel_Islands!$C$240</f>
        <v>9000</v>
      </c>
      <c r="GC6" s="1168">
        <f>Channel_Islands!$C$241</f>
        <v>74</v>
      </c>
      <c r="GD6" s="1168">
        <f t="shared" ref="GD6:GD28" si="33">SUM(GE6:GJ6)</f>
        <v>0</v>
      </c>
      <c r="GE6" s="1168" t="str">
        <f>Channel_Islands!$G$246</f>
        <v>UNK</v>
      </c>
      <c r="GF6" s="1168" t="str">
        <f>Channel_Islands!$G$247</f>
        <v>UNK</v>
      </c>
      <c r="GG6" s="1168" t="str">
        <f>Channel_Islands!$G$248</f>
        <v>UNK</v>
      </c>
      <c r="GH6" s="1168" t="str">
        <f>Channel_Islands!$G$249</f>
        <v>UNK</v>
      </c>
      <c r="GI6" s="1168" t="str">
        <f>Channel_Islands!$G$250</f>
        <v>UNK</v>
      </c>
      <c r="GJ6" s="1180" t="str">
        <f>Channel_Islands!$G$251</f>
        <v>UNK</v>
      </c>
    </row>
    <row r="7" spans="1:193">
      <c r="A7" s="1095" t="s">
        <v>751</v>
      </c>
      <c r="B7" s="135">
        <f>Chico!$C$18</f>
        <v>0</v>
      </c>
      <c r="C7" s="135">
        <f>Chico!$C$19</f>
        <v>9</v>
      </c>
      <c r="D7" s="135">
        <f>Chico!$C$19</f>
        <v>9</v>
      </c>
      <c r="E7" s="135">
        <f>Chico!$C$21</f>
        <v>2</v>
      </c>
      <c r="F7" s="1165">
        <f>Chico!$C$22</f>
        <v>5</v>
      </c>
      <c r="G7" s="1166">
        <f>Chico!$C$26</f>
        <v>12</v>
      </c>
      <c r="H7" s="1166">
        <f>Chico!$C$27</f>
        <v>10</v>
      </c>
      <c r="I7" s="1166">
        <f>Chico!$C$28</f>
        <v>1</v>
      </c>
      <c r="J7" s="1166">
        <f>Chico!$C$29</f>
        <v>1</v>
      </c>
      <c r="K7" s="1166">
        <f>Chico!$C$30</f>
        <v>0</v>
      </c>
      <c r="L7" s="1166">
        <f>Chico!$C$32</f>
        <v>20</v>
      </c>
      <c r="M7" s="1166">
        <f>Chico!$C$33</f>
        <v>2</v>
      </c>
      <c r="N7" s="1166">
        <f>Chico!$C$34</f>
        <v>2.5</v>
      </c>
      <c r="O7" s="1166">
        <f>Chico!$C$35</f>
        <v>0</v>
      </c>
      <c r="P7" s="1166">
        <f>Chico!$C$36</f>
        <v>0</v>
      </c>
      <c r="Q7" s="1166">
        <f>Chico!$C$37</f>
        <v>23.9</v>
      </c>
      <c r="R7" s="1167">
        <f>Chico!$C$38</f>
        <v>0.96</v>
      </c>
      <c r="S7" s="1166">
        <f>Chico!$C$39</f>
        <v>60.4</v>
      </c>
      <c r="T7" s="1109">
        <f>Chico!$C$44</f>
        <v>953442</v>
      </c>
      <c r="U7" s="1109">
        <f>Chico!$C$45</f>
        <v>782842</v>
      </c>
      <c r="V7" s="1109">
        <f>Chico!$C$46</f>
        <v>170600</v>
      </c>
      <c r="W7" s="1109">
        <f>Chico!$C$47</f>
        <v>0</v>
      </c>
      <c r="X7" s="1109">
        <f>Chico!$C$48</f>
        <v>1056044</v>
      </c>
      <c r="Y7" s="1109">
        <f>Chico!$C$49</f>
        <v>848054</v>
      </c>
      <c r="Z7" s="1109">
        <f>Chico!$C$50</f>
        <v>76549</v>
      </c>
      <c r="AA7" s="1109">
        <f>Chico!$C$51</f>
        <v>131441</v>
      </c>
      <c r="AB7" s="1109">
        <f t="shared" si="3"/>
        <v>2009486</v>
      </c>
      <c r="AC7" s="1109">
        <f>Chico!$C$52</f>
        <v>295511</v>
      </c>
      <c r="AD7" s="1109">
        <f t="shared" si="4"/>
        <v>2304997</v>
      </c>
      <c r="AE7" s="1109">
        <f t="shared" si="5"/>
        <v>288279</v>
      </c>
      <c r="AF7" s="1109">
        <f>Chico!$C$57</f>
        <v>190646</v>
      </c>
      <c r="AG7" s="1109">
        <f>Chico!$C$58</f>
        <v>0</v>
      </c>
      <c r="AH7" s="1109">
        <f>Chico!$C$59</f>
        <v>97633</v>
      </c>
      <c r="AI7" s="1109">
        <f t="shared" si="6"/>
        <v>840541</v>
      </c>
      <c r="AJ7" s="1109">
        <f>Chico!$C$61</f>
        <v>212848</v>
      </c>
      <c r="AK7" s="1109">
        <f>Chico!$C$62</f>
        <v>602404</v>
      </c>
      <c r="AL7" s="1109">
        <f>Chico!$C$63</f>
        <v>597328</v>
      </c>
      <c r="AM7" s="1109">
        <f>Chico!$C$64</f>
        <v>23372</v>
      </c>
      <c r="AN7" s="1109">
        <f>Chico!$C$65</f>
        <v>1917</v>
      </c>
      <c r="AO7" s="1109">
        <f>Chico!$C$66</f>
        <v>0</v>
      </c>
      <c r="AP7" s="1109">
        <f t="shared" si="0"/>
        <v>6214</v>
      </c>
      <c r="AQ7" s="1109">
        <f>Chico!$C$68</f>
        <v>286</v>
      </c>
      <c r="AR7" s="1109">
        <f>Chico!$C$69</f>
        <v>5928</v>
      </c>
      <c r="AS7" s="1109">
        <f t="shared" si="7"/>
        <v>789</v>
      </c>
      <c r="AT7" s="1109">
        <f>Chico!$C$71</f>
        <v>473</v>
      </c>
      <c r="AU7" s="1109">
        <f>Chico!$C$72</f>
        <v>0</v>
      </c>
      <c r="AV7" s="1109">
        <f>Chico!$C$73</f>
        <v>0</v>
      </c>
      <c r="AW7" s="1109">
        <f>Chico!$C$74</f>
        <v>0</v>
      </c>
      <c r="AX7" s="1109">
        <f>Chico!$C$75</f>
        <v>316</v>
      </c>
      <c r="AY7" s="1109">
        <f t="shared" si="1"/>
        <v>1135823</v>
      </c>
      <c r="AZ7" s="1109">
        <f t="shared" si="8"/>
        <v>15585</v>
      </c>
      <c r="BA7" s="1109">
        <f>Chico!$C$81</f>
        <v>6096</v>
      </c>
      <c r="BB7" s="1109">
        <f>Chico!$C$82</f>
        <v>7824</v>
      </c>
      <c r="BC7" s="1109">
        <f>Chico!$C$83</f>
        <v>364</v>
      </c>
      <c r="BD7" s="1109">
        <f>Chico!$C$84</f>
        <v>99</v>
      </c>
      <c r="BE7" s="1109">
        <f>Chico!$C$85</f>
        <v>1202</v>
      </c>
      <c r="BF7" s="1109" t="str">
        <f>Chico!$C$86</f>
        <v>n/a</v>
      </c>
      <c r="BG7" s="1109">
        <f t="shared" si="9"/>
        <v>9984</v>
      </c>
      <c r="BH7" s="1109">
        <f>Chico!$C$88</f>
        <v>2196</v>
      </c>
      <c r="BI7" s="1109">
        <f>Chico!$C$89</f>
        <v>7788</v>
      </c>
      <c r="BJ7" s="1109" t="str">
        <f>Chico!$C$90</f>
        <v>unk</v>
      </c>
      <c r="BK7" s="1109">
        <f>Chico!$C$91</f>
        <v>138855</v>
      </c>
      <c r="BL7" s="1109">
        <f>Chico!$C$92</f>
        <v>108876</v>
      </c>
      <c r="BM7" s="1109">
        <f>Chico!$C$93</f>
        <v>40260</v>
      </c>
      <c r="BN7" s="1109">
        <f>Chico!$C$94</f>
        <v>126540</v>
      </c>
      <c r="BO7" s="1109">
        <f t="shared" si="2"/>
        <v>3880920</v>
      </c>
      <c r="BP7" s="1109">
        <f>Chico!$C$96</f>
        <v>0</v>
      </c>
      <c r="BQ7" s="1109">
        <f t="shared" si="10"/>
        <v>3880920</v>
      </c>
      <c r="BR7" s="1168">
        <f t="shared" si="11"/>
        <v>939191</v>
      </c>
      <c r="BS7" s="1168">
        <f>Chico!$E$104</f>
        <v>712645</v>
      </c>
      <c r="BT7" s="1168">
        <f>Chico!$C$105</f>
        <v>3508</v>
      </c>
      <c r="BU7" s="1168">
        <f>Chico!$C$106</f>
        <v>71</v>
      </c>
      <c r="BV7" s="1168">
        <f>Chico!$E$107</f>
        <v>207241</v>
      </c>
      <c r="BW7" s="1168">
        <f>Chico!$E$108</f>
        <v>15726</v>
      </c>
      <c r="BX7" s="1168" t="str">
        <f>Chico!$E$109</f>
        <v>n/a</v>
      </c>
      <c r="BY7" s="1168" t="str">
        <f>Chico!$E$110</f>
        <v>n/a</v>
      </c>
      <c r="BZ7" s="1168">
        <f t="shared" si="12"/>
        <v>6749</v>
      </c>
      <c r="CA7" s="1168">
        <f>Chico!$E$112</f>
        <v>6749</v>
      </c>
      <c r="CB7" s="1168" t="str">
        <f>Chico!$E$113</f>
        <v>n/a</v>
      </c>
      <c r="CC7" s="1168">
        <f t="shared" si="13"/>
        <v>66688</v>
      </c>
      <c r="CD7" s="1168">
        <f t="shared" si="14"/>
        <v>48885</v>
      </c>
      <c r="CE7" s="1168">
        <f>Chico!$E$117</f>
        <v>647</v>
      </c>
      <c r="CF7" s="1168">
        <f>Chico!$E$118</f>
        <v>48238</v>
      </c>
      <c r="CG7" s="1168">
        <f t="shared" si="15"/>
        <v>17803</v>
      </c>
      <c r="CH7" s="1168">
        <f>Chico!$E$120</f>
        <v>84</v>
      </c>
      <c r="CI7" s="1168">
        <f>Chico!$E$121</f>
        <v>17719</v>
      </c>
      <c r="CJ7" s="1168" t="str">
        <f>Chico!$E$122</f>
        <v>n/a</v>
      </c>
      <c r="CK7" s="1168">
        <f t="shared" si="16"/>
        <v>20174</v>
      </c>
      <c r="CL7" s="1168">
        <f>Chico!$E$126</f>
        <v>9971</v>
      </c>
      <c r="CM7" s="1168">
        <f>Chico!$E$127</f>
        <v>10203</v>
      </c>
      <c r="CN7" s="1168">
        <f t="shared" si="17"/>
        <v>3833764</v>
      </c>
      <c r="CO7" s="1168">
        <f>Chico!$E$130</f>
        <v>69973</v>
      </c>
      <c r="CP7" s="1168">
        <f>Chico!$E$131</f>
        <v>163713</v>
      </c>
      <c r="CQ7" s="1168">
        <f>Chico!$E$132</f>
        <v>994</v>
      </c>
      <c r="CR7" s="1168">
        <f t="shared" si="18"/>
        <v>1154018</v>
      </c>
      <c r="CS7" s="1168" t="str">
        <f>Chico!$E$134</f>
        <v>n/a</v>
      </c>
      <c r="CT7" s="1168">
        <f>Chico!$E$135</f>
        <v>1154018</v>
      </c>
      <c r="CU7" s="1168">
        <f>Chico!$E$136</f>
        <v>0</v>
      </c>
      <c r="CV7" s="1168">
        <f>Chico!$E$138</f>
        <v>8</v>
      </c>
      <c r="CW7" s="1168">
        <f>Chico!$E$139</f>
        <v>17000</v>
      </c>
      <c r="CX7" s="1168" t="str">
        <f>Chico!$E$140</f>
        <v>n/a</v>
      </c>
      <c r="CY7" s="1168" t="str">
        <f>Chico!$E$141</f>
        <v>***</v>
      </c>
      <c r="CZ7" s="1168">
        <f>Chico!$E$142</f>
        <v>2136</v>
      </c>
      <c r="DA7" s="1168">
        <f>Chico!$E$143</f>
        <v>1271904</v>
      </c>
      <c r="DB7" s="1168">
        <f t="shared" si="19"/>
        <v>714696</v>
      </c>
      <c r="DC7" s="1168">
        <f>Chico!$C$148</f>
        <v>567515</v>
      </c>
      <c r="DD7" s="1168">
        <f>Chico!$C$149</f>
        <v>147181</v>
      </c>
      <c r="DE7" s="1168">
        <f t="shared" si="20"/>
        <v>8232010</v>
      </c>
      <c r="DF7" s="1168">
        <f>Chico!$C$151</f>
        <v>1924176</v>
      </c>
      <c r="DG7" s="1168">
        <f>Chico!$C$152</f>
        <v>6307834</v>
      </c>
      <c r="DH7" s="1168">
        <f t="shared" si="21"/>
        <v>141578</v>
      </c>
      <c r="DI7" s="1168">
        <f>Chico!$C$156</f>
        <v>101586</v>
      </c>
      <c r="DJ7" s="1168">
        <f>Chico!$C$157</f>
        <v>10918</v>
      </c>
      <c r="DK7" s="1168">
        <f>Chico!$C$158</f>
        <v>126964</v>
      </c>
      <c r="DL7" s="1168">
        <f t="shared" si="22"/>
        <v>5249</v>
      </c>
      <c r="DM7" s="1168">
        <f>Chico!$C$160</f>
        <v>404</v>
      </c>
      <c r="DN7" s="1168">
        <f>Chico!$C$161</f>
        <v>3331</v>
      </c>
      <c r="DO7" s="1168">
        <f>Chico!$C$162</f>
        <v>1514</v>
      </c>
      <c r="DP7" s="1168">
        <f t="shared" si="23"/>
        <v>29074</v>
      </c>
      <c r="DQ7" s="1168">
        <f>Chico!$C$164</f>
        <v>17684</v>
      </c>
      <c r="DR7" s="1168">
        <f>Chico!$C$165</f>
        <v>11390</v>
      </c>
      <c r="DS7" s="1168">
        <f>Chico!$C$166</f>
        <v>0</v>
      </c>
      <c r="DT7" s="1168">
        <f t="shared" si="24"/>
        <v>6634</v>
      </c>
      <c r="DU7" s="1168">
        <f>Chico!$C$169</f>
        <v>3045</v>
      </c>
      <c r="DV7" s="1168">
        <f>Chico!$C$170</f>
        <v>3589</v>
      </c>
      <c r="DW7" s="1168">
        <f t="shared" si="25"/>
        <v>6634</v>
      </c>
      <c r="DX7" s="1168">
        <f>Chico!$C$172</f>
        <v>4021</v>
      </c>
      <c r="DY7" s="1168">
        <f>Chico!$C$173</f>
        <v>654</v>
      </c>
      <c r="DZ7" s="1168">
        <f>Chico!$C$174</f>
        <v>1959</v>
      </c>
      <c r="EA7" s="1168">
        <f t="shared" si="26"/>
        <v>0</v>
      </c>
      <c r="EB7" s="1168">
        <f>Chico!$C$176</f>
        <v>0</v>
      </c>
      <c r="EC7" s="1168">
        <f>Chico!$C$177</f>
        <v>0</v>
      </c>
      <c r="ED7" s="1168">
        <f>Chico!$C$178</f>
        <v>0</v>
      </c>
      <c r="EE7" s="1168">
        <f t="shared" si="27"/>
        <v>8203</v>
      </c>
      <c r="EF7" s="1168">
        <f>Chico!$C$181</f>
        <v>3845</v>
      </c>
      <c r="EG7" s="1168">
        <f>Chico!$C$182</f>
        <v>4358</v>
      </c>
      <c r="EH7" s="1168">
        <f t="shared" si="28"/>
        <v>8203</v>
      </c>
      <c r="EI7" s="1168">
        <f>Chico!$C$184</f>
        <v>5075</v>
      </c>
      <c r="EJ7" s="1168">
        <f>Chico!$C$185</f>
        <v>1741</v>
      </c>
      <c r="EK7" s="1168">
        <f>Chico!$C$186</f>
        <v>1387</v>
      </c>
      <c r="EL7" s="1168">
        <f t="shared" si="29"/>
        <v>152</v>
      </c>
      <c r="EM7" s="1168">
        <f>Chico!$C$188</f>
        <v>0</v>
      </c>
      <c r="EN7" s="1168">
        <f>Chico!$C$189</f>
        <v>0</v>
      </c>
      <c r="EO7" s="1168">
        <f>Chico!$C$190</f>
        <v>152</v>
      </c>
      <c r="EP7" s="1168">
        <f t="shared" si="30"/>
        <v>210</v>
      </c>
      <c r="EQ7" s="1168">
        <f>Chico!$C$195</f>
        <v>208</v>
      </c>
      <c r="ER7" s="1168">
        <f>Chico!$C$196</f>
        <v>2</v>
      </c>
      <c r="ES7" s="1168">
        <f>Chico!$C$197</f>
        <v>0</v>
      </c>
      <c r="ET7" s="1168">
        <f t="shared" si="31"/>
        <v>5747</v>
      </c>
      <c r="EU7" s="1168">
        <f>Chico!$C$199</f>
        <v>5728</v>
      </c>
      <c r="EV7" s="1168">
        <f>Chico!$C$200</f>
        <v>19</v>
      </c>
      <c r="EW7" s="1168">
        <f>Chico!$C$201</f>
        <v>0</v>
      </c>
      <c r="EX7" s="1168">
        <f>Chico!$C$203</f>
        <v>20</v>
      </c>
      <c r="EY7" s="1168">
        <f>Chico!$C$204</f>
        <v>28</v>
      </c>
      <c r="EZ7" s="1168">
        <f>Chico!$C$205</f>
        <v>4</v>
      </c>
      <c r="FA7" s="1168">
        <f>Chico!$C$206</f>
        <v>38</v>
      </c>
      <c r="FB7" s="1168">
        <f>Chico!$C$207</f>
        <v>0</v>
      </c>
      <c r="FC7" s="1168">
        <f t="shared" si="32"/>
        <v>145</v>
      </c>
      <c r="FD7" s="1168">
        <f>Chico!$E$212</f>
        <v>70</v>
      </c>
      <c r="FE7" s="1168">
        <f>Chico!$E$213</f>
        <v>0</v>
      </c>
      <c r="FF7" s="1168">
        <f>Chico!$E$214</f>
        <v>24</v>
      </c>
      <c r="FG7" s="1168">
        <f>Chico!$E$215</f>
        <v>0</v>
      </c>
      <c r="FH7" s="1168">
        <f>Chico!$E$216</f>
        <v>0</v>
      </c>
      <c r="FI7" s="1168">
        <f>Chico!$E$217</f>
        <v>0</v>
      </c>
      <c r="FJ7" s="1168">
        <f>Chico!$E$218</f>
        <v>31</v>
      </c>
      <c r="FK7" s="1168">
        <f>Chico!$E$219</f>
        <v>6</v>
      </c>
      <c r="FL7" s="1168">
        <f>Chico!$E$220</f>
        <v>5</v>
      </c>
      <c r="FM7" s="1168">
        <f>Chico!$E$221</f>
        <v>5</v>
      </c>
      <c r="FN7" s="1168">
        <f>Chico!$E$222</f>
        <v>1</v>
      </c>
      <c r="FO7" s="1168">
        <f>Chico!$E$223</f>
        <v>0</v>
      </c>
      <c r="FP7" s="1168">
        <f>Chico!$E$224</f>
        <v>0</v>
      </c>
      <c r="FQ7" s="1168">
        <f>Chico!$E$225</f>
        <v>0</v>
      </c>
      <c r="FR7" s="1168">
        <f>Chico!$E$226</f>
        <v>3</v>
      </c>
      <c r="FS7" s="1168">
        <f>Chico!$E$227</f>
        <v>0</v>
      </c>
      <c r="FT7" s="1168" t="str">
        <f>Chico!$C$230</f>
        <v>n/a</v>
      </c>
      <c r="FU7" s="1168">
        <f>Chico!$C$231</f>
        <v>2852</v>
      </c>
      <c r="FV7" s="1168">
        <f>Chico!$C$232</f>
        <v>230</v>
      </c>
      <c r="FW7" s="1168">
        <f>Chico!$C$233</f>
        <v>346</v>
      </c>
      <c r="FX7" s="1168">
        <f>Chico!$C$234</f>
        <v>290</v>
      </c>
      <c r="FY7" s="1168">
        <f>Chico!$C$235</f>
        <v>179</v>
      </c>
      <c r="FZ7" s="135"/>
      <c r="GA7" s="1146">
        <f>Chico!$C$239</f>
        <v>91</v>
      </c>
      <c r="GB7" s="1168">
        <f>Chico!$C$240</f>
        <v>24548</v>
      </c>
      <c r="GC7" s="1168">
        <f>Chico!$C$241</f>
        <v>62</v>
      </c>
      <c r="GD7" s="1168">
        <f t="shared" si="33"/>
        <v>647</v>
      </c>
      <c r="GE7" s="1168">
        <f>Chico!$G$246</f>
        <v>438</v>
      </c>
      <c r="GF7" s="1168">
        <f>Chico!$G$247</f>
        <v>3</v>
      </c>
      <c r="GG7" s="1168">
        <f>Chico!$G$248</f>
        <v>5</v>
      </c>
      <c r="GH7" s="1168">
        <f>Chico!$G$249</f>
        <v>150</v>
      </c>
      <c r="GI7" s="1168">
        <f>Chico!$G$250</f>
        <v>51</v>
      </c>
      <c r="GJ7" s="1180">
        <f>Chico!$G$251</f>
        <v>0</v>
      </c>
    </row>
    <row r="8" spans="1:193">
      <c r="A8" s="1095" t="s">
        <v>752</v>
      </c>
      <c r="B8" s="135">
        <f>Dominguez_Hills!C18</f>
        <v>0</v>
      </c>
      <c r="C8" s="135">
        <f>Dominguez_Hills!$C$19</f>
        <v>0</v>
      </c>
      <c r="D8" s="135">
        <f>Dominguez_Hills!$C$20</f>
        <v>11</v>
      </c>
      <c r="E8" s="135">
        <f>Dominguez_Hills!$C$21</f>
        <v>6</v>
      </c>
      <c r="F8" s="1165">
        <f>Dominguez_Hills!$C$22</f>
        <v>6</v>
      </c>
      <c r="G8" s="1166">
        <f>Dominguez_Hills!$C$26</f>
        <v>11.5</v>
      </c>
      <c r="H8" s="1166">
        <f>Dominguez_Hills!$C$27</f>
        <v>8.5</v>
      </c>
      <c r="I8" s="1166">
        <f>Dominguez_Hills!$C$28</f>
        <v>0</v>
      </c>
      <c r="J8" s="1166">
        <f>Dominguez_Hills!$C$29</f>
        <v>3</v>
      </c>
      <c r="K8" s="1166">
        <f>Dominguez_Hills!$C$30</f>
        <v>0</v>
      </c>
      <c r="L8" s="1166">
        <f>Dominguez_Hills!$C$32</f>
        <v>10</v>
      </c>
      <c r="M8" s="1166">
        <f>Dominguez_Hills!$C$33</f>
        <v>5</v>
      </c>
      <c r="N8" s="1166">
        <f>Dominguez_Hills!$C$34</f>
        <v>0</v>
      </c>
      <c r="O8" s="1166">
        <f>Dominguez_Hills!$C$35</f>
        <v>0</v>
      </c>
      <c r="P8" s="1166">
        <f>Dominguez_Hills!$C$36</f>
        <v>2</v>
      </c>
      <c r="Q8" s="1166">
        <f>Dominguez_Hills!$C$37</f>
        <v>5</v>
      </c>
      <c r="R8" s="1167">
        <f>Dominguez_Hills!$C$38</f>
        <v>0.16</v>
      </c>
      <c r="S8" s="1166">
        <f>Dominguez_Hills!$C$39</f>
        <v>30.5</v>
      </c>
      <c r="T8" s="1109">
        <f>Dominguez_Hills!$C$44</f>
        <v>971605</v>
      </c>
      <c r="U8" s="1109">
        <f>Dominguez_Hills!$C$45</f>
        <v>672720</v>
      </c>
      <c r="V8" s="1109">
        <f>Dominguez_Hills!$C$46</f>
        <v>298885</v>
      </c>
      <c r="W8" s="1109">
        <f>Dominguez_Hills!$C$47</f>
        <v>0</v>
      </c>
      <c r="X8" s="1109">
        <f>Dominguez_Hills!$C$48</f>
        <v>639988</v>
      </c>
      <c r="Y8" s="1109">
        <f>Dominguez_Hills!$C$49</f>
        <v>424186</v>
      </c>
      <c r="Z8" s="1109">
        <f>Dominguez_Hills!$C$50</f>
        <v>215202</v>
      </c>
      <c r="AA8" s="1109">
        <f>Dominguez_Hills!$C$51</f>
        <v>0</v>
      </c>
      <c r="AB8" s="1109">
        <f t="shared" si="3"/>
        <v>1611593</v>
      </c>
      <c r="AC8" s="1109">
        <f>Dominguez_Hills!$C$52</f>
        <v>81313</v>
      </c>
      <c r="AD8" s="1109">
        <f t="shared" si="4"/>
        <v>1692906</v>
      </c>
      <c r="AE8" s="1109">
        <f t="shared" si="5"/>
        <v>22329</v>
      </c>
      <c r="AF8" s="1109">
        <f>Dominguez_Hills!$C$57</f>
        <v>22329</v>
      </c>
      <c r="AG8" s="1109">
        <f>Dominguez_Hills!$C$58</f>
        <v>0</v>
      </c>
      <c r="AH8" s="1109">
        <f>Dominguez_Hills!$C$59</f>
        <v>0</v>
      </c>
      <c r="AI8" s="1109">
        <f t="shared" si="6"/>
        <v>462036</v>
      </c>
      <c r="AJ8" s="1109">
        <f>Dominguez_Hills!$C$61</f>
        <v>209575</v>
      </c>
      <c r="AK8" s="1109">
        <f>Dominguez_Hills!$C$62</f>
        <v>252461</v>
      </c>
      <c r="AL8" s="1109">
        <f>Dominguez_Hills!$C$63</f>
        <v>252461</v>
      </c>
      <c r="AM8" s="1109">
        <f>Dominguez_Hills!$C$64</f>
        <v>0</v>
      </c>
      <c r="AN8" s="1109">
        <f>Dominguez_Hills!$C$65</f>
        <v>0</v>
      </c>
      <c r="AO8" s="1109">
        <f>Dominguez_Hills!$C$66</f>
        <v>0</v>
      </c>
      <c r="AP8" s="1109">
        <f t="shared" si="0"/>
        <v>0</v>
      </c>
      <c r="AQ8" s="1109">
        <f>Dominguez_Hills!$C$68</f>
        <v>0</v>
      </c>
      <c r="AR8" s="1109">
        <f>Dominguez_Hills!$C$69</f>
        <v>0</v>
      </c>
      <c r="AS8" s="1109">
        <f t="shared" si="7"/>
        <v>0</v>
      </c>
      <c r="AT8" s="1109">
        <f>Dominguez_Hills!$C$71</f>
        <v>0</v>
      </c>
      <c r="AU8" s="1109">
        <f>Dominguez_Hills!$C$72</f>
        <v>0</v>
      </c>
      <c r="AV8" s="1109">
        <f>Dominguez_Hills!$C$73</f>
        <v>0</v>
      </c>
      <c r="AW8" s="1109">
        <f>Dominguez_Hills!$C$74</f>
        <v>0</v>
      </c>
      <c r="AX8" s="1109">
        <f>Dominguez_Hills!$C$75</f>
        <v>0</v>
      </c>
      <c r="AY8" s="1109">
        <f t="shared" si="1"/>
        <v>484365</v>
      </c>
      <c r="AZ8" s="1109">
        <f t="shared" si="8"/>
        <v>1186</v>
      </c>
      <c r="BA8" s="1109">
        <f>Dominguez_Hills!$C$81</f>
        <v>0</v>
      </c>
      <c r="BB8" s="1109">
        <f>Dominguez_Hills!$C$82</f>
        <v>941</v>
      </c>
      <c r="BC8" s="1109">
        <f>Dominguez_Hills!$C$83</f>
        <v>0</v>
      </c>
      <c r="BD8" s="1109">
        <f>Dominguez_Hills!$C$84</f>
        <v>245</v>
      </c>
      <c r="BE8" s="1109">
        <f>Dominguez_Hills!$C$85</f>
        <v>0</v>
      </c>
      <c r="BF8" s="1109">
        <f>Dominguez_Hills!$C$86</f>
        <v>0</v>
      </c>
      <c r="BG8" s="1109">
        <f t="shared" si="9"/>
        <v>42425</v>
      </c>
      <c r="BH8" s="1109">
        <f>Dominguez_Hills!$C$88</f>
        <v>8933</v>
      </c>
      <c r="BI8" s="1109">
        <f>Dominguez_Hills!$C$89</f>
        <v>31592</v>
      </c>
      <c r="BJ8" s="1109">
        <f>Dominguez_Hills!$C$90</f>
        <v>1900</v>
      </c>
      <c r="BK8" s="1109">
        <f>Dominguez_Hills!$C$91</f>
        <v>0</v>
      </c>
      <c r="BL8" s="1109">
        <f>Dominguez_Hills!$C$92</f>
        <v>1279</v>
      </c>
      <c r="BM8" s="1109">
        <f>Dominguez_Hills!$C$93</f>
        <v>0</v>
      </c>
      <c r="BN8" s="1109">
        <f>Dominguez_Hills!$C$94</f>
        <v>122168</v>
      </c>
      <c r="BO8" s="1109">
        <f t="shared" si="2"/>
        <v>2344329</v>
      </c>
      <c r="BP8" s="1109">
        <f>Dominguez_Hills!$C$96</f>
        <v>0</v>
      </c>
      <c r="BQ8" s="1109">
        <f t="shared" si="10"/>
        <v>2344329</v>
      </c>
      <c r="BR8" s="1168">
        <f t="shared" si="11"/>
        <v>3811</v>
      </c>
      <c r="BS8" s="1168" t="str">
        <f>Dominguez_Hills!$E$104</f>
        <v>NA</v>
      </c>
      <c r="BT8" s="1168">
        <f>Dominguez_Hills!$C$105</f>
        <v>3811</v>
      </c>
      <c r="BU8" s="1168">
        <f>Dominguez_Hills!$C$106</f>
        <v>0</v>
      </c>
      <c r="BV8" s="1168" t="str">
        <f>Dominguez_Hills!$E$107</f>
        <v>NA</v>
      </c>
      <c r="BW8" s="1168" t="str">
        <f>Dominguez_Hills!$E$108</f>
        <v>NA</v>
      </c>
      <c r="BX8" s="1168" t="str">
        <f>Dominguez_Hills!$E$109</f>
        <v>NA</v>
      </c>
      <c r="BY8" s="1168" t="str">
        <f>Dominguez_Hills!$E$110</f>
        <v>NA</v>
      </c>
      <c r="BZ8" s="1168">
        <f t="shared" si="12"/>
        <v>0</v>
      </c>
      <c r="CA8" s="1168">
        <f>Dominguez_Hills!$E$112</f>
        <v>0</v>
      </c>
      <c r="CB8" s="1168">
        <f>Dominguez_Hills!$E$113</f>
        <v>0</v>
      </c>
      <c r="CC8" s="1168">
        <f t="shared" si="13"/>
        <v>9193</v>
      </c>
      <c r="CD8" s="1168">
        <f t="shared" si="14"/>
        <v>4038</v>
      </c>
      <c r="CE8" s="1168">
        <f>Dominguez_Hills!$E$117</f>
        <v>673</v>
      </c>
      <c r="CF8" s="1168">
        <f>Dominguez_Hills!$E$118</f>
        <v>3365</v>
      </c>
      <c r="CG8" s="1168">
        <f t="shared" si="15"/>
        <v>5155</v>
      </c>
      <c r="CH8" s="1168">
        <f>Dominguez_Hills!$E$120</f>
        <v>50</v>
      </c>
      <c r="CI8" s="1168">
        <f>Dominguez_Hills!$E$121</f>
        <v>5105</v>
      </c>
      <c r="CJ8" s="1168" t="str">
        <f>Dominguez_Hills!$E$122</f>
        <v>NA</v>
      </c>
      <c r="CK8" s="1168">
        <f t="shared" si="16"/>
        <v>0</v>
      </c>
      <c r="CL8" s="1168">
        <f>Dominguez_Hills!$E$126</f>
        <v>0</v>
      </c>
      <c r="CM8" s="1168">
        <f>Dominguez_Hills!$E$127</f>
        <v>0</v>
      </c>
      <c r="CN8" s="1168">
        <f t="shared" si="17"/>
        <v>0</v>
      </c>
      <c r="CO8" s="1168">
        <f>Dominguez_Hills!$E$130</f>
        <v>0</v>
      </c>
      <c r="CP8" s="1168">
        <f>Dominguez_Hills!$E$131</f>
        <v>0</v>
      </c>
      <c r="CQ8" s="1168">
        <f>Dominguez_Hills!$E$132</f>
        <v>0</v>
      </c>
      <c r="CR8" s="1168">
        <f t="shared" si="18"/>
        <v>0</v>
      </c>
      <c r="CS8" s="1168">
        <f>Dominguez_Hills!$E$134</f>
        <v>0</v>
      </c>
      <c r="CT8" s="1168">
        <f>Dominguez_Hills!$E$135</f>
        <v>0</v>
      </c>
      <c r="CU8" s="1168">
        <f>Dominguez_Hills!$E$136</f>
        <v>0</v>
      </c>
      <c r="CV8" s="1168">
        <f>Dominguez_Hills!$E$138</f>
        <v>0</v>
      </c>
      <c r="CW8" s="1168">
        <f>Dominguez_Hills!$E$139</f>
        <v>0</v>
      </c>
      <c r="CX8" s="1168">
        <f>Dominguez_Hills!$E$140</f>
        <v>0</v>
      </c>
      <c r="CY8" s="1168">
        <f>Dominguez_Hills!$E$141</f>
        <v>0</v>
      </c>
      <c r="CZ8" s="1168">
        <f>Dominguez_Hills!$E$142</f>
        <v>0</v>
      </c>
      <c r="DA8" s="1168">
        <f>Dominguez_Hills!$E$143</f>
        <v>0</v>
      </c>
      <c r="DB8" s="1168">
        <f t="shared" si="19"/>
        <v>246511</v>
      </c>
      <c r="DC8" s="1168">
        <f>Dominguez_Hills!$C$148</f>
        <v>246511</v>
      </c>
      <c r="DD8" s="1168" t="str">
        <f>Dominguez_Hills!$C$149</f>
        <v>UNK</v>
      </c>
      <c r="DE8" s="1168">
        <f t="shared" si="20"/>
        <v>1653649</v>
      </c>
      <c r="DF8" s="1168">
        <f>Dominguez_Hills!$C$151</f>
        <v>192298</v>
      </c>
      <c r="DG8" s="1168">
        <f>Dominguez_Hills!$C$152</f>
        <v>1461351</v>
      </c>
      <c r="DH8" s="1168">
        <f t="shared" si="21"/>
        <v>34780</v>
      </c>
      <c r="DI8" s="1168">
        <f>Dominguez_Hills!$C$156</f>
        <v>28521</v>
      </c>
      <c r="DJ8" s="1168">
        <f>Dominguez_Hills!$C$157</f>
        <v>6259</v>
      </c>
      <c r="DK8" s="1168">
        <f>Dominguez_Hills!$C$158</f>
        <v>21534</v>
      </c>
      <c r="DL8" s="1168">
        <f t="shared" si="22"/>
        <v>886</v>
      </c>
      <c r="DM8" s="1168">
        <f>Dominguez_Hills!$C$160</f>
        <v>107</v>
      </c>
      <c r="DN8" s="1168">
        <f>Dominguez_Hills!$C$161</f>
        <v>563</v>
      </c>
      <c r="DO8" s="1168">
        <f>Dominguez_Hills!$C$162</f>
        <v>216</v>
      </c>
      <c r="DP8" s="1168">
        <f t="shared" si="23"/>
        <v>0</v>
      </c>
      <c r="DQ8" s="1168" t="str">
        <f>Dominguez_Hills!$C$164</f>
        <v>UNK</v>
      </c>
      <c r="DR8" s="1168" t="str">
        <f>Dominguez_Hills!$C$165</f>
        <v>UNK</v>
      </c>
      <c r="DS8" s="1168" t="str">
        <f>Dominguez_Hills!$C$166</f>
        <v>UNK</v>
      </c>
      <c r="DT8" s="1168">
        <f t="shared" si="24"/>
        <v>6311</v>
      </c>
      <c r="DU8" s="1168">
        <f>Dominguez_Hills!$C$169</f>
        <v>2371</v>
      </c>
      <c r="DV8" s="1168">
        <f>Dominguez_Hills!$C$170</f>
        <v>3940</v>
      </c>
      <c r="DW8" s="1168">
        <f t="shared" si="25"/>
        <v>6311</v>
      </c>
      <c r="DX8" s="1168">
        <f>Dominguez_Hills!$C$172</f>
        <v>4745</v>
      </c>
      <c r="DY8" s="1168">
        <f>Dominguez_Hills!$C$173</f>
        <v>503</v>
      </c>
      <c r="DZ8" s="1168">
        <f>Dominguez_Hills!$C$174</f>
        <v>1063</v>
      </c>
      <c r="EA8" s="1168">
        <f t="shared" si="26"/>
        <v>0</v>
      </c>
      <c r="EB8" s="1168">
        <f>Dominguez_Hills!$C$176</f>
        <v>0</v>
      </c>
      <c r="EC8" s="1168">
        <f>Dominguez_Hills!$C$177</f>
        <v>0</v>
      </c>
      <c r="ED8" s="1168">
        <f>Dominguez_Hills!$C$178</f>
        <v>0</v>
      </c>
      <c r="EE8" s="1168">
        <f t="shared" si="27"/>
        <v>4641</v>
      </c>
      <c r="EF8" s="1168">
        <f>Dominguez_Hills!$C$181</f>
        <v>1426</v>
      </c>
      <c r="EG8" s="1168">
        <f>Dominguez_Hills!$C$182</f>
        <v>3215</v>
      </c>
      <c r="EH8" s="1168">
        <f t="shared" si="28"/>
        <v>4641</v>
      </c>
      <c r="EI8" s="1168">
        <f>Dominguez_Hills!$C$184</f>
        <v>2840</v>
      </c>
      <c r="EJ8" s="1168">
        <f>Dominguez_Hills!$C$185</f>
        <v>359</v>
      </c>
      <c r="EK8" s="1168">
        <f>Dominguez_Hills!$C$186</f>
        <v>1442</v>
      </c>
      <c r="EL8" s="1168">
        <f t="shared" si="29"/>
        <v>0</v>
      </c>
      <c r="EM8" s="1168">
        <f>Dominguez_Hills!$C$188</f>
        <v>0</v>
      </c>
      <c r="EN8" s="1168">
        <f>Dominguez_Hills!$C$189</f>
        <v>0</v>
      </c>
      <c r="EO8" s="1168">
        <f>Dominguez_Hills!$C$190</f>
        <v>0</v>
      </c>
      <c r="EP8" s="1168">
        <f t="shared" si="30"/>
        <v>50</v>
      </c>
      <c r="EQ8" s="1168">
        <f>Dominguez_Hills!$C$195</f>
        <v>50</v>
      </c>
      <c r="ER8" s="1168">
        <f>Dominguez_Hills!$C$196</f>
        <v>0</v>
      </c>
      <c r="ES8" s="1168">
        <f>Dominguez_Hills!$C$197</f>
        <v>0</v>
      </c>
      <c r="ET8" s="1168">
        <f t="shared" si="31"/>
        <v>1366</v>
      </c>
      <c r="EU8" s="1168">
        <f>Dominguez_Hills!$C$199</f>
        <v>1366</v>
      </c>
      <c r="EV8" s="1168">
        <f>Dominguez_Hills!$C$200</f>
        <v>0</v>
      </c>
      <c r="EW8" s="1168">
        <f>Dominguez_Hills!$C$201</f>
        <v>0</v>
      </c>
      <c r="EX8" s="1168">
        <f>Dominguez_Hills!$C$203</f>
        <v>0</v>
      </c>
      <c r="EY8" s="1168">
        <f>Dominguez_Hills!$C$204</f>
        <v>0</v>
      </c>
      <c r="EZ8" s="1168">
        <f>Dominguez_Hills!$C$205</f>
        <v>8</v>
      </c>
      <c r="FA8" s="1168">
        <f>Dominguez_Hills!$C$206</f>
        <v>457</v>
      </c>
      <c r="FB8" s="1168" t="str">
        <f>Dominguez_Hills!$C$207</f>
        <v>UNK</v>
      </c>
      <c r="FC8" s="1168">
        <f t="shared" si="32"/>
        <v>276</v>
      </c>
      <c r="FD8" s="1168">
        <f>Dominguez_Hills!$E$212</f>
        <v>64</v>
      </c>
      <c r="FE8" s="1168">
        <f>Dominguez_Hills!$E$213</f>
        <v>0</v>
      </c>
      <c r="FF8" s="1168">
        <f>Dominguez_Hills!$E$214</f>
        <v>61</v>
      </c>
      <c r="FG8" s="1168">
        <f>Dominguez_Hills!$E$215</f>
        <v>59</v>
      </c>
      <c r="FH8" s="1168" t="str">
        <f>Dominguez_Hills!$E$216</f>
        <v>NA</v>
      </c>
      <c r="FI8" s="1168">
        <f>Dominguez_Hills!$E$217</f>
        <v>0</v>
      </c>
      <c r="FJ8" s="1168">
        <f>Dominguez_Hills!$E$218</f>
        <v>1</v>
      </c>
      <c r="FK8" s="1168">
        <f>Dominguez_Hills!$E$219</f>
        <v>0</v>
      </c>
      <c r="FL8" s="1168">
        <f>Dominguez_Hills!$E$220</f>
        <v>55</v>
      </c>
      <c r="FM8" s="1168">
        <f>Dominguez_Hills!$E$221</f>
        <v>29</v>
      </c>
      <c r="FN8" s="1168">
        <f>Dominguez_Hills!$E$222</f>
        <v>1</v>
      </c>
      <c r="FO8" s="1168" t="str">
        <f>Dominguez_Hills!$E$223</f>
        <v>NA</v>
      </c>
      <c r="FP8" s="1168">
        <f>Dominguez_Hills!$E$224</f>
        <v>0</v>
      </c>
      <c r="FQ8" s="1168">
        <f>Dominguez_Hills!$E$225</f>
        <v>0</v>
      </c>
      <c r="FR8" s="1168">
        <f>Dominguez_Hills!$E$226</f>
        <v>4</v>
      </c>
      <c r="FS8" s="1168">
        <f>Dominguez_Hills!$E$227</f>
        <v>2</v>
      </c>
      <c r="FT8" s="1168">
        <f>Dominguez_Hills!$C$230</f>
        <v>94</v>
      </c>
      <c r="FU8" s="1168" t="str">
        <f>Dominguez_Hills!$C$231</f>
        <v>NA</v>
      </c>
      <c r="FV8" s="1168" t="str">
        <f>Dominguez_Hills!$C$232</f>
        <v>UNK</v>
      </c>
      <c r="FW8" s="1168" t="str">
        <f>Dominguez_Hills!$C$233</f>
        <v>NA</v>
      </c>
      <c r="FX8" s="1168">
        <f>Dominguez_Hills!$C$234</f>
        <v>50</v>
      </c>
      <c r="FY8" s="1168" t="str">
        <f>Dominguez_Hills!$C$235</f>
        <v>NA</v>
      </c>
      <c r="FZ8" s="135"/>
      <c r="GA8" s="1146">
        <f>Dominguez_Hills!$C$239</f>
        <v>61</v>
      </c>
      <c r="GB8" s="1168">
        <f>Dominguez_Hills!$C$240</f>
        <v>13541</v>
      </c>
      <c r="GC8" s="1168">
        <f>Dominguez_Hills!$C$241</f>
        <v>61</v>
      </c>
      <c r="GD8" s="1168">
        <f t="shared" si="33"/>
        <v>1129</v>
      </c>
      <c r="GE8" s="1168">
        <f>Dominguez_Hills!$G$246</f>
        <v>404</v>
      </c>
      <c r="GF8" s="1168">
        <f>Dominguez_Hills!$G$247</f>
        <v>0</v>
      </c>
      <c r="GG8" s="1168">
        <f>Dominguez_Hills!$G$248</f>
        <v>40</v>
      </c>
      <c r="GH8" s="1168">
        <f>Dominguez_Hills!$G$249</f>
        <v>66</v>
      </c>
      <c r="GI8" s="1168">
        <f>Dominguez_Hills!$G$250</f>
        <v>0</v>
      </c>
      <c r="GJ8" s="1180">
        <f>Dominguez_Hills!$G$251</f>
        <v>619</v>
      </c>
    </row>
    <row r="9" spans="1:193">
      <c r="A9" s="1095" t="s">
        <v>753</v>
      </c>
      <c r="B9" s="135">
        <f>East_Bay!$C$18</f>
        <v>1</v>
      </c>
      <c r="C9" s="135">
        <f>East_Bay!$C$19</f>
        <v>4</v>
      </c>
      <c r="D9" s="135">
        <f>East_Bay!$C$20</f>
        <v>12</v>
      </c>
      <c r="E9" s="135">
        <f>East_Bay!$C$21</f>
        <v>2</v>
      </c>
      <c r="F9" s="1165">
        <f>East_Bay!$C$22</f>
        <v>5</v>
      </c>
      <c r="G9" s="1166">
        <f>East_Bay!$C$26</f>
        <v>14.13</v>
      </c>
      <c r="H9" s="1166">
        <f>East_Bay!$C$27</f>
        <v>13.13</v>
      </c>
      <c r="I9" s="1166">
        <f>East_Bay!$C$28</f>
        <v>1</v>
      </c>
      <c r="J9" s="1166">
        <f>East_Bay!$C$29</f>
        <v>0</v>
      </c>
      <c r="K9" s="1166">
        <f>East_Bay!$C$30</f>
        <v>0</v>
      </c>
      <c r="L9" s="1166">
        <f>East_Bay!$C$32</f>
        <v>13.5</v>
      </c>
      <c r="M9" s="1166">
        <f>East_Bay!$C$33</f>
        <v>2.5</v>
      </c>
      <c r="N9" s="1166">
        <f>East_Bay!$C$34</f>
        <v>2</v>
      </c>
      <c r="O9" s="1166">
        <f>East_Bay!$C$35</f>
        <v>0</v>
      </c>
      <c r="P9" s="1166">
        <f>East_Bay!$C$36</f>
        <v>0</v>
      </c>
      <c r="Q9" s="1166">
        <f>East_Bay!$C$37</f>
        <v>46</v>
      </c>
      <c r="R9" s="1167">
        <f>East_Bay!$C$38</f>
        <v>7.0000000000000007E-2</v>
      </c>
      <c r="S9" s="1166">
        <f>East_Bay!$C$39</f>
        <v>78.13</v>
      </c>
      <c r="T9" s="1109">
        <f>East_Bay!$C$44</f>
        <v>995612</v>
      </c>
      <c r="U9" s="1109">
        <f>East_Bay!$C$45</f>
        <v>970446</v>
      </c>
      <c r="V9" s="1109">
        <f>East_Bay!$C$46</f>
        <v>25166</v>
      </c>
      <c r="W9" s="1109">
        <f>East_Bay!$C$47</f>
        <v>0</v>
      </c>
      <c r="X9" s="1109">
        <f>East_Bay!$C$48</f>
        <v>779984</v>
      </c>
      <c r="Y9" s="1109">
        <f>East_Bay!$C$49</f>
        <v>561003</v>
      </c>
      <c r="Z9" s="1109">
        <f>East_Bay!$C$50</f>
        <v>105113</v>
      </c>
      <c r="AA9" s="1109">
        <f>East_Bay!$C$51</f>
        <v>113868</v>
      </c>
      <c r="AB9" s="1109">
        <f t="shared" si="3"/>
        <v>1775596</v>
      </c>
      <c r="AC9" s="1109">
        <f>East_Bay!$C$52</f>
        <v>209899</v>
      </c>
      <c r="AD9" s="1109">
        <f t="shared" si="4"/>
        <v>1985495</v>
      </c>
      <c r="AE9" s="1109">
        <f t="shared" si="5"/>
        <v>78967</v>
      </c>
      <c r="AF9" s="1109">
        <f>East_Bay!$C$57</f>
        <v>78967</v>
      </c>
      <c r="AG9" s="1169" t="str">
        <f>East_Bay!$C$58</f>
        <v>N/A</v>
      </c>
      <c r="AH9" s="1169" t="str">
        <f>East_Bay!$C$59</f>
        <v>N/A</v>
      </c>
      <c r="AI9" s="1109">
        <f t="shared" si="6"/>
        <v>713108</v>
      </c>
      <c r="AJ9" s="1170">
        <f>East_Bay!$C$61</f>
        <v>368230</v>
      </c>
      <c r="AK9" s="1170">
        <f>East_Bay!$C$62</f>
        <v>321423</v>
      </c>
      <c r="AL9" s="1170">
        <f>East_Bay!$C$63</f>
        <v>169008</v>
      </c>
      <c r="AM9" s="1170">
        <f>East_Bay!$C$64</f>
        <v>5794</v>
      </c>
      <c r="AN9" s="1170">
        <f>Fresno!$C$64</f>
        <v>17661</v>
      </c>
      <c r="AO9" s="1109">
        <f>Dominguez_Hills!$C$66</f>
        <v>0</v>
      </c>
      <c r="AP9" s="1109">
        <f t="shared" si="0"/>
        <v>6296</v>
      </c>
      <c r="AQ9" s="1170">
        <f>East_Bay!$C$68</f>
        <v>0</v>
      </c>
      <c r="AR9" s="1170">
        <f>East_Bay!$C$69</f>
        <v>6296</v>
      </c>
      <c r="AS9" s="1109">
        <f t="shared" si="7"/>
        <v>0</v>
      </c>
      <c r="AT9" s="1170">
        <f>East_Bay!$C$71</f>
        <v>0</v>
      </c>
      <c r="AU9" s="1170">
        <f>East_Bay!$C$72</f>
        <v>0</v>
      </c>
      <c r="AV9" s="1170">
        <f>East_Bay!$C$73</f>
        <v>0</v>
      </c>
      <c r="AW9" s="1170">
        <f>East_Bay!$C$74</f>
        <v>0</v>
      </c>
      <c r="AX9" s="1170">
        <f>East_Bay!$C$75</f>
        <v>0</v>
      </c>
      <c r="AY9" s="1109">
        <f t="shared" si="1"/>
        <v>798371</v>
      </c>
      <c r="AZ9" s="1109">
        <f t="shared" si="8"/>
        <v>39539</v>
      </c>
      <c r="BA9" s="1170">
        <f>East_Bay!$C$81</f>
        <v>24400</v>
      </c>
      <c r="BB9" s="1170">
        <f>East_Bay!$C$82</f>
        <v>8641</v>
      </c>
      <c r="BC9" s="1170" t="str">
        <f>East_Bay!$C$83</f>
        <v>UNK</v>
      </c>
      <c r="BD9" s="1170" t="str">
        <f>East_Bay!$C$84</f>
        <v>UNK</v>
      </c>
      <c r="BE9" s="1170">
        <f>East_Bay!$C$85</f>
        <v>6498</v>
      </c>
      <c r="BF9" s="1170">
        <f>East_Bay!$C$86</f>
        <v>0</v>
      </c>
      <c r="BG9" s="1109">
        <f t="shared" si="9"/>
        <v>5666</v>
      </c>
      <c r="BH9" s="1170" t="str">
        <f>East_Bay!$C$88</f>
        <v>UNK</v>
      </c>
      <c r="BI9" s="1170">
        <f>East_Bay!$C$89</f>
        <v>5666</v>
      </c>
      <c r="BJ9" s="1170" t="str">
        <f>East_Bay!$C$90</f>
        <v>UNK</v>
      </c>
      <c r="BK9" s="1170" t="str">
        <f>East_Bay!$C$91</f>
        <v>$</v>
      </c>
      <c r="BL9" s="1170">
        <f>East_Bay!$C$92</f>
        <v>74868</v>
      </c>
      <c r="BM9" s="1170">
        <f>East_Bay!$C$93</f>
        <v>23017</v>
      </c>
      <c r="BN9" s="1170">
        <f>East_Bay!$C$94</f>
        <v>14956</v>
      </c>
      <c r="BO9" s="1109">
        <f t="shared" si="2"/>
        <v>2941912</v>
      </c>
      <c r="BP9" s="1170">
        <f>East_Bay!$C$96</f>
        <v>0</v>
      </c>
      <c r="BQ9" s="1109">
        <f t="shared" si="10"/>
        <v>2941912</v>
      </c>
      <c r="BR9" s="1168">
        <f t="shared" si="11"/>
        <v>969491</v>
      </c>
      <c r="BS9" s="1171">
        <f>East_Bay!$E$104</f>
        <v>793314</v>
      </c>
      <c r="BT9" s="1171">
        <f>East_Bay!$C$105</f>
        <v>1892</v>
      </c>
      <c r="BU9" s="1171">
        <f>East_Bay!$C$106</f>
        <v>513</v>
      </c>
      <c r="BV9" s="1171">
        <f>East_Bay!$E$107</f>
        <v>98056</v>
      </c>
      <c r="BW9" s="1171">
        <f>East_Bay!$E$108</f>
        <v>16603</v>
      </c>
      <c r="BX9" s="1171">
        <f>East_Bay!$E$109</f>
        <v>0</v>
      </c>
      <c r="BY9" s="1171">
        <f>East_Bay!$E$110</f>
        <v>59113</v>
      </c>
      <c r="BZ9" s="1168">
        <f t="shared" si="12"/>
        <v>87625</v>
      </c>
      <c r="CA9" s="1171">
        <f>East_Bay!$E$112</f>
        <v>53463</v>
      </c>
      <c r="CB9" s="1171">
        <f>East_Bay!$E$113</f>
        <v>34162</v>
      </c>
      <c r="CC9" s="1168">
        <f t="shared" si="13"/>
        <v>65577</v>
      </c>
      <c r="CD9" s="1168">
        <f t="shared" si="14"/>
        <v>63077</v>
      </c>
      <c r="CE9" s="1171">
        <f>East_Bay!$E$117</f>
        <v>0</v>
      </c>
      <c r="CF9" s="1171">
        <f>East_Bay!$E$118</f>
        <v>63077</v>
      </c>
      <c r="CG9" s="1168">
        <f t="shared" si="15"/>
        <v>2500</v>
      </c>
      <c r="CH9" s="1171">
        <f>East_Bay!$E$120</f>
        <v>0</v>
      </c>
      <c r="CI9" s="1171" t="str">
        <f>East_Bay!$E$121</f>
        <v>UNK</v>
      </c>
      <c r="CJ9" s="1171">
        <f>East_Bay!$E$122</f>
        <v>2500</v>
      </c>
      <c r="CK9" s="1168">
        <f t="shared" si="16"/>
        <v>31320</v>
      </c>
      <c r="CL9" s="1171">
        <f>East_Bay!$E$126</f>
        <v>24446</v>
      </c>
      <c r="CM9" s="1171">
        <f>East_Bay!$E$127</f>
        <v>6874</v>
      </c>
      <c r="CN9" s="1168">
        <f t="shared" si="17"/>
        <v>1724371.5</v>
      </c>
      <c r="CO9" s="1171">
        <f>East_Bay!$E$130</f>
        <v>365</v>
      </c>
      <c r="CP9" s="1171">
        <f>East_Bay!$E$131</f>
        <v>29</v>
      </c>
      <c r="CQ9" s="1171">
        <f>East_Bay!$E$132</f>
        <v>1024</v>
      </c>
      <c r="CR9" s="1168">
        <f t="shared" si="18"/>
        <v>860853</v>
      </c>
      <c r="CS9" s="1171">
        <f>East_Bay!$E$134</f>
        <v>860853</v>
      </c>
      <c r="CT9" s="1171">
        <f>East_Bay!$E$135</f>
        <v>0</v>
      </c>
      <c r="CU9" s="1171">
        <f>East_Bay!$E$136</f>
        <v>0</v>
      </c>
      <c r="CV9" s="1171">
        <f>East_Bay!$E$138</f>
        <v>3</v>
      </c>
      <c r="CW9" s="1171">
        <f>East_Bay!$E$139</f>
        <v>8</v>
      </c>
      <c r="CX9" s="1171">
        <f>East_Bay!$E$140</f>
        <v>59.5</v>
      </c>
      <c r="CY9" s="1171" t="str">
        <f>East_Bay!$E$141</f>
        <v>***</v>
      </c>
      <c r="CZ9" s="1171">
        <f>East_Bay!$E$142</f>
        <v>1167</v>
      </c>
      <c r="DA9" s="1171">
        <f>East_Bay!$E$143</f>
        <v>10</v>
      </c>
      <c r="DB9" s="1168">
        <f t="shared" si="19"/>
        <v>951440</v>
      </c>
      <c r="DC9" s="1171" t="str">
        <f>East_Bay!$C$148</f>
        <v>unk</v>
      </c>
      <c r="DD9" s="1171">
        <f>East_Bay!$C$149</f>
        <v>951440</v>
      </c>
      <c r="DE9" s="1168">
        <f t="shared" si="20"/>
        <v>2159991</v>
      </c>
      <c r="DF9" s="1171" t="str">
        <f>East_Bay!$C$151</f>
        <v>unk</v>
      </c>
      <c r="DG9" s="1171">
        <f>East_Bay!$C$152</f>
        <v>2159991</v>
      </c>
      <c r="DH9" s="1168">
        <f t="shared" si="21"/>
        <v>104325</v>
      </c>
      <c r="DI9" s="1171">
        <f>East_Bay!$C$156</f>
        <v>38819</v>
      </c>
      <c r="DJ9" s="1171">
        <f>East_Bay!$C$157</f>
        <v>19390</v>
      </c>
      <c r="DK9" s="1171">
        <f>East_Bay!$C$158</f>
        <v>23641</v>
      </c>
      <c r="DL9" s="1168">
        <f t="shared" si="22"/>
        <v>784</v>
      </c>
      <c r="DM9" s="1171">
        <f>East_Bay!$C$160</f>
        <v>9</v>
      </c>
      <c r="DN9" s="1171">
        <f>East_Bay!$C$161</f>
        <v>498</v>
      </c>
      <c r="DO9" s="1171">
        <f>East_Bay!$C$162</f>
        <v>277</v>
      </c>
      <c r="DP9" s="1168">
        <f t="shared" si="23"/>
        <v>46116</v>
      </c>
      <c r="DQ9" s="1171">
        <f>East_Bay!$C$164</f>
        <v>45048</v>
      </c>
      <c r="DR9" s="1171" t="str">
        <f>East_Bay!$C$165</f>
        <v>n/a</v>
      </c>
      <c r="DS9" s="1171">
        <f>East_Bay!$C$166</f>
        <v>1068</v>
      </c>
      <c r="DT9" s="1168">
        <f t="shared" si="24"/>
        <v>5027</v>
      </c>
      <c r="DU9" s="1171">
        <f>East_Bay!$C$169</f>
        <v>2849</v>
      </c>
      <c r="DV9" s="1171">
        <f>East_Bay!$C$170</f>
        <v>2178</v>
      </c>
      <c r="DW9" s="1168">
        <f t="shared" si="25"/>
        <v>4686</v>
      </c>
      <c r="DX9" s="1171">
        <f>East_Bay!$C$172</f>
        <v>2702</v>
      </c>
      <c r="DY9" s="1171">
        <f>East_Bay!$C$173</f>
        <v>725</v>
      </c>
      <c r="DZ9" s="1171">
        <f>East_Bay!$C$174</f>
        <v>1259</v>
      </c>
      <c r="EA9" s="1168">
        <f t="shared" si="26"/>
        <v>10764</v>
      </c>
      <c r="EB9" s="1171">
        <f>East_Bay!$C$176</f>
        <v>2675</v>
      </c>
      <c r="EC9" s="1171">
        <f>East_Bay!$C$177</f>
        <v>5</v>
      </c>
      <c r="ED9" s="1171">
        <f>East_Bay!$C$178</f>
        <v>8084</v>
      </c>
      <c r="EE9" s="1168">
        <f t="shared" si="27"/>
        <v>6428</v>
      </c>
      <c r="EF9" s="1171">
        <f>East_Bay!$C$181</f>
        <v>498</v>
      </c>
      <c r="EG9" s="1171">
        <f>East_Bay!$C$182</f>
        <v>5930</v>
      </c>
      <c r="EH9" s="1168">
        <f t="shared" si="28"/>
        <v>4671</v>
      </c>
      <c r="EI9" s="1171">
        <f>East_Bay!$C$184</f>
        <v>2438</v>
      </c>
      <c r="EJ9" s="1171">
        <f>East_Bay!$C$185</f>
        <v>61</v>
      </c>
      <c r="EK9" s="1171">
        <f>East_Bay!$C$186</f>
        <v>2172</v>
      </c>
      <c r="EL9" s="1168">
        <f t="shared" si="29"/>
        <v>8109</v>
      </c>
      <c r="EM9" s="1171">
        <f>East_Bay!$C$188</f>
        <v>2441</v>
      </c>
      <c r="EN9" s="1171">
        <f>East_Bay!$C$189</f>
        <v>40</v>
      </c>
      <c r="EO9" s="1171">
        <f>East_Bay!$C$190</f>
        <v>5628</v>
      </c>
      <c r="EP9" s="1168">
        <f t="shared" si="30"/>
        <v>90</v>
      </c>
      <c r="EQ9" s="1171">
        <f>East_Bay!$C$195</f>
        <v>81</v>
      </c>
      <c r="ER9" s="1171">
        <f>East_Bay!$C$196</f>
        <v>9</v>
      </c>
      <c r="ES9" s="1171">
        <f>East_Bay!$C$197</f>
        <v>0</v>
      </c>
      <c r="ET9" s="1168">
        <f t="shared" si="31"/>
        <v>2966</v>
      </c>
      <c r="EU9" s="1171">
        <f>East_Bay!$C$199</f>
        <v>2801</v>
      </c>
      <c r="EV9" s="1171">
        <f>East_Bay!$C$200</f>
        <v>165</v>
      </c>
      <c r="EW9" s="1171">
        <f>East_Bay!$C$201</f>
        <v>0</v>
      </c>
      <c r="EX9" s="1171">
        <f>East_Bay!$C$203</f>
        <v>780</v>
      </c>
      <c r="EY9" s="1171">
        <f>East_Bay!$C$204</f>
        <v>722</v>
      </c>
      <c r="EZ9" s="1171">
        <f>East_Bay!$C$205</f>
        <v>0</v>
      </c>
      <c r="FA9" s="1171">
        <f>East_Bay!$C$206</f>
        <v>0</v>
      </c>
      <c r="FB9" s="1171">
        <f>East_Bay!$C$207</f>
        <v>0</v>
      </c>
      <c r="FC9" s="1168">
        <f t="shared" si="32"/>
        <v>399</v>
      </c>
      <c r="FD9" s="1171">
        <f>East_Bay!$E$212</f>
        <v>184</v>
      </c>
      <c r="FE9" s="1171">
        <f>East_Bay!$E$213</f>
        <v>96</v>
      </c>
      <c r="FF9" s="1171">
        <f>East_Bay!$E$214</f>
        <v>60</v>
      </c>
      <c r="FG9" s="1171">
        <f>East_Bay!$E$215</f>
        <v>0</v>
      </c>
      <c r="FH9" s="1171">
        <f>East_Bay!$E$216</f>
        <v>0</v>
      </c>
      <c r="FI9" s="1171">
        <f>East_Bay!$E$217</f>
        <v>0</v>
      </c>
      <c r="FJ9" s="1171">
        <f>East_Bay!$E$218</f>
        <v>7</v>
      </c>
      <c r="FK9" s="1171">
        <f>East_Bay!$E$219</f>
        <v>0</v>
      </c>
      <c r="FL9" s="1171">
        <f>East_Bay!$E$220</f>
        <v>12</v>
      </c>
      <c r="FM9" s="1171">
        <f>East_Bay!$E$221</f>
        <v>9</v>
      </c>
      <c r="FN9" s="1171">
        <f>East_Bay!$E$222</f>
        <v>1</v>
      </c>
      <c r="FO9" s="1171">
        <f>East_Bay!$E$223</f>
        <v>0</v>
      </c>
      <c r="FP9" s="1171">
        <f>East_Bay!$E$224</f>
        <v>1</v>
      </c>
      <c r="FQ9" s="1171">
        <f>East_Bay!$E$225</f>
        <v>0</v>
      </c>
      <c r="FR9" s="1171">
        <f>East_Bay!$E$226</f>
        <v>24</v>
      </c>
      <c r="FS9" s="1171">
        <f>East_Bay!$E$227</f>
        <v>5</v>
      </c>
      <c r="FT9" s="1171" t="str">
        <f>East_Bay!$C$230</f>
        <v>UNK</v>
      </c>
      <c r="FU9" s="1171" t="str">
        <f>East_Bay!$C$231</f>
        <v>UNK</v>
      </c>
      <c r="FV9" s="1171" t="str">
        <f>East_Bay!$C$232</f>
        <v>UNK</v>
      </c>
      <c r="FW9" s="1171" t="str">
        <f>East_Bay!$C$233</f>
        <v>UNK</v>
      </c>
      <c r="FX9" s="1171">
        <f>East_Bay!$C$234</f>
        <v>332</v>
      </c>
      <c r="FY9" s="1171" t="str">
        <f>East_Bay!$C$235</f>
        <v>N/A</v>
      </c>
      <c r="FZ9" s="135"/>
      <c r="GA9" s="1147">
        <f>East_Bay!$C$239</f>
        <v>76</v>
      </c>
      <c r="GB9" s="1171">
        <f>East_Bay!$C$240</f>
        <v>28741</v>
      </c>
      <c r="GC9" s="1171">
        <f>East_Bay!$C$241</f>
        <v>88</v>
      </c>
      <c r="GD9" s="1168">
        <f t="shared" si="33"/>
        <v>810</v>
      </c>
      <c r="GE9" s="1171">
        <f>East_Bay!$G$246</f>
        <v>727</v>
      </c>
      <c r="GF9" s="1171">
        <f>East_Bay!$G$247</f>
        <v>0</v>
      </c>
      <c r="GG9" s="1171">
        <f>East_Bay!$G$248</f>
        <v>15</v>
      </c>
      <c r="GH9" s="1171" t="str">
        <f>East_Bay!$G$249</f>
        <v>UNK</v>
      </c>
      <c r="GI9" s="1171">
        <f>East_Bay!$G$250</f>
        <v>68</v>
      </c>
      <c r="GJ9" s="1181" t="str">
        <f>East_Bay!$G$251</f>
        <v>UNK</v>
      </c>
    </row>
    <row r="10" spans="1:193">
      <c r="A10" s="1095" t="s">
        <v>488</v>
      </c>
      <c r="B10" s="135">
        <f>Fresno!$C$18</f>
        <v>0</v>
      </c>
      <c r="C10" s="135">
        <f>Fresno!$C$19</f>
        <v>4</v>
      </c>
      <c r="D10" s="135">
        <f>Fresno!$C$20</f>
        <v>44</v>
      </c>
      <c r="E10" s="135">
        <f>Fresno!$C$21</f>
        <v>6</v>
      </c>
      <c r="F10" s="1165">
        <f>Fresno!$C$22</f>
        <v>7</v>
      </c>
      <c r="G10" s="1166">
        <f>Fresno!$C$26</f>
        <v>23</v>
      </c>
      <c r="H10" s="1166">
        <f>Fresno!$C$27</f>
        <v>18</v>
      </c>
      <c r="I10" s="1166">
        <f>Fresno!$C$28</f>
        <v>2</v>
      </c>
      <c r="J10" s="1166">
        <f>Fresno!$C$29</f>
        <v>2</v>
      </c>
      <c r="K10" s="1166">
        <f>Fresno!$C$30</f>
        <v>1</v>
      </c>
      <c r="L10" s="1166">
        <f>Fresno!$C$32</f>
        <v>31.5</v>
      </c>
      <c r="M10" s="1166">
        <f>Fresno!$C$33</f>
        <v>8</v>
      </c>
      <c r="N10" s="1166">
        <f>Fresno!$C$34</f>
        <v>4</v>
      </c>
      <c r="O10" s="1166">
        <f>Fresno!$C$35</f>
        <v>0</v>
      </c>
      <c r="P10" s="1166">
        <f>Fresno!$C$36</f>
        <v>2</v>
      </c>
      <c r="Q10" s="1166">
        <f>Fresno!$C$37</f>
        <v>28.5</v>
      </c>
      <c r="R10" s="1167">
        <f>Fresno!$C$38</f>
        <v>0</v>
      </c>
      <c r="S10" s="1166">
        <f>Fresno!$C$39</f>
        <v>95</v>
      </c>
      <c r="T10" s="1109">
        <f>Fresno!$C$44</f>
        <v>1915110</v>
      </c>
      <c r="U10" s="1109">
        <f>Fresno!$C$45</f>
        <v>1497096</v>
      </c>
      <c r="V10" s="1109">
        <f>Fresno!$C$46</f>
        <v>342574</v>
      </c>
      <c r="W10" s="1109">
        <f>Fresno!$C$47</f>
        <v>75440</v>
      </c>
      <c r="X10" s="1109">
        <f>Fresno!$C$48</f>
        <v>1830928</v>
      </c>
      <c r="Y10" s="1109">
        <f>Fresno!$C$49</f>
        <v>1222802</v>
      </c>
      <c r="Z10" s="1109">
        <f>Fresno!$C$50</f>
        <v>387346</v>
      </c>
      <c r="AA10" s="1109">
        <f>Fresno!$C$51</f>
        <v>220780</v>
      </c>
      <c r="AB10" s="1109">
        <f t="shared" si="3"/>
        <v>3746038</v>
      </c>
      <c r="AC10" s="1109">
        <f>Fresno!$C$52</f>
        <v>519576</v>
      </c>
      <c r="AD10" s="1109">
        <f t="shared" si="4"/>
        <v>4265614</v>
      </c>
      <c r="AE10" s="1109">
        <f t="shared" si="5"/>
        <v>352992</v>
      </c>
      <c r="AF10" s="1109">
        <f>Fresno!$C$57</f>
        <v>303138</v>
      </c>
      <c r="AG10" s="1109">
        <f>Fresno!$C$58</f>
        <v>49854</v>
      </c>
      <c r="AH10" s="1169" t="str">
        <f>Fresno!$C$59</f>
        <v>N/A</v>
      </c>
      <c r="AI10" s="1109">
        <f t="shared" si="6"/>
        <v>1579306</v>
      </c>
      <c r="AJ10" s="1170">
        <f>Fresno!$C$61</f>
        <v>385986</v>
      </c>
      <c r="AK10" s="1170">
        <f>Fresno!$C$62</f>
        <v>1175659</v>
      </c>
      <c r="AL10" s="1170">
        <f>Fresno!$C$63</f>
        <v>744763</v>
      </c>
      <c r="AM10" s="1170">
        <f>Fresno!$C$64</f>
        <v>17661</v>
      </c>
      <c r="AN10" s="1170">
        <v>0</v>
      </c>
      <c r="AO10" s="1109">
        <f>Fresno!$C$66</f>
        <v>0</v>
      </c>
      <c r="AP10" s="1109">
        <f t="shared" si="0"/>
        <v>38115</v>
      </c>
      <c r="AQ10" s="1109">
        <f>Fresno!$C$68</f>
        <v>14149</v>
      </c>
      <c r="AR10" s="1109">
        <f>Fresno!$C$69</f>
        <v>23966</v>
      </c>
      <c r="AS10" s="1109">
        <f t="shared" si="7"/>
        <v>1808</v>
      </c>
      <c r="AT10" s="1109">
        <f>Fresno!$C$71</f>
        <v>1808</v>
      </c>
      <c r="AU10" s="1109">
        <f>Fresno!$C$72</f>
        <v>0</v>
      </c>
      <c r="AV10" s="1109">
        <f>Fresno!$C$73</f>
        <v>0</v>
      </c>
      <c r="AW10" s="1109">
        <f>Fresno!$C$74</f>
        <v>0</v>
      </c>
      <c r="AX10" s="1109">
        <f>Fresno!$C$75</f>
        <v>0</v>
      </c>
      <c r="AY10" s="1109">
        <f t="shared" si="1"/>
        <v>1972221</v>
      </c>
      <c r="AZ10" s="1109">
        <f t="shared" si="8"/>
        <v>28779</v>
      </c>
      <c r="BA10" s="1109">
        <f>Fresno!$C$81</f>
        <v>24000</v>
      </c>
      <c r="BB10" s="1109">
        <f>Fresno!$C$82</f>
        <v>0</v>
      </c>
      <c r="BC10" s="1109">
        <f>Fresno!$C$83</f>
        <v>4779</v>
      </c>
      <c r="BD10" s="1109">
        <f>Fresno!$C$84</f>
        <v>0</v>
      </c>
      <c r="BE10" s="1109">
        <f>Fresno!$C$85</f>
        <v>0</v>
      </c>
      <c r="BF10" s="1109">
        <f>Fresno!$C$86</f>
        <v>0</v>
      </c>
      <c r="BG10" s="1109">
        <f t="shared" si="9"/>
        <v>14457</v>
      </c>
      <c r="BH10" s="1109">
        <f>Fresno!$C$88</f>
        <v>2417</v>
      </c>
      <c r="BI10" s="1109">
        <f>Fresno!$C$89</f>
        <v>12040</v>
      </c>
      <c r="BJ10" s="1109">
        <f>Fresno!$C$90</f>
        <v>0</v>
      </c>
      <c r="BK10" s="1109">
        <f>Fresno!$C$91</f>
        <v>98121</v>
      </c>
      <c r="BL10" s="1109">
        <f>Fresno!$C$92</f>
        <v>177794</v>
      </c>
      <c r="BM10" s="1109">
        <f>Fresno!$C$93</f>
        <v>103390</v>
      </c>
      <c r="BN10" s="1109">
        <f>Fresno!$C$94</f>
        <v>0</v>
      </c>
      <c r="BO10" s="1109">
        <f t="shared" si="2"/>
        <v>6660376</v>
      </c>
      <c r="BP10" s="1109">
        <f>Fresno!$C$96</f>
        <v>0</v>
      </c>
      <c r="BQ10" s="1109">
        <f t="shared" si="10"/>
        <v>6660376</v>
      </c>
      <c r="BR10" s="1168">
        <f t="shared" si="11"/>
        <v>1121014</v>
      </c>
      <c r="BS10" s="1168">
        <f>Fresno!$E$104</f>
        <v>922632</v>
      </c>
      <c r="BT10" s="1168">
        <f>Fresno!$C$105</f>
        <v>10535</v>
      </c>
      <c r="BU10" s="1168">
        <f>Fresno!$C$106</f>
        <v>1976</v>
      </c>
      <c r="BV10" s="1168">
        <f>Fresno!$E$107</f>
        <v>123734</v>
      </c>
      <c r="BW10" s="1168">
        <f>Fresno!$E$108</f>
        <v>11617</v>
      </c>
      <c r="BX10" s="1168">
        <f>Fresno!$E$109</f>
        <v>24038</v>
      </c>
      <c r="BY10" s="1168">
        <f>Fresno!$E$110</f>
        <v>26482</v>
      </c>
      <c r="BZ10" s="1168">
        <f t="shared" si="12"/>
        <v>119104</v>
      </c>
      <c r="CA10" s="1168">
        <f>Fresno!$E$112</f>
        <v>59802</v>
      </c>
      <c r="CB10" s="1168">
        <f>Fresno!$E$113</f>
        <v>59302</v>
      </c>
      <c r="CC10" s="1168">
        <f t="shared" si="13"/>
        <v>39872</v>
      </c>
      <c r="CD10" s="1168">
        <f t="shared" si="14"/>
        <v>29983</v>
      </c>
      <c r="CE10" s="1168">
        <f>Fresno!$E$117</f>
        <v>1057</v>
      </c>
      <c r="CF10" s="1168">
        <f>Fresno!$E$118</f>
        <v>28926</v>
      </c>
      <c r="CG10" s="1168">
        <f t="shared" si="15"/>
        <v>9889</v>
      </c>
      <c r="CH10" s="1168">
        <f>Fresno!$E$120</f>
        <v>67</v>
      </c>
      <c r="CI10" s="1168" t="str">
        <f>Fresno!$E$121</f>
        <v>unk</v>
      </c>
      <c r="CJ10" s="1168">
        <f>Fresno!$E$122</f>
        <v>9822</v>
      </c>
      <c r="CK10" s="1168">
        <f t="shared" si="16"/>
        <v>90631</v>
      </c>
      <c r="CL10" s="1168">
        <f>Fresno!$E$126</f>
        <v>82319</v>
      </c>
      <c r="CM10" s="1168">
        <f>Fresno!$E$127</f>
        <v>8312</v>
      </c>
      <c r="CN10" s="1168">
        <f t="shared" si="17"/>
        <v>3612406</v>
      </c>
      <c r="CO10" s="1168">
        <f>Fresno!$E$130</f>
        <v>143312</v>
      </c>
      <c r="CP10" s="1168">
        <f>Fresno!$E$131</f>
        <v>1896</v>
      </c>
      <c r="CQ10" s="1168">
        <f>Fresno!$E$132</f>
        <v>756</v>
      </c>
      <c r="CR10" s="1168">
        <f t="shared" si="18"/>
        <v>1588973</v>
      </c>
      <c r="CS10" s="1168">
        <f>Fresno!$E$134</f>
        <v>325070</v>
      </c>
      <c r="CT10" s="1168">
        <f>Fresno!$E$135</f>
        <v>1263903</v>
      </c>
      <c r="CU10" s="1168">
        <f>Fresno!$E$136</f>
        <v>270958</v>
      </c>
      <c r="CV10" s="1168">
        <f>Fresno!$E$138</f>
        <v>9</v>
      </c>
      <c r="CW10" s="1168">
        <f>Fresno!$E$139</f>
        <v>2036</v>
      </c>
      <c r="CX10" s="1168" t="str">
        <f>Fresno!$E$140</f>
        <v>unk</v>
      </c>
      <c r="CY10" s="1168" t="str">
        <f>Fresno!$E$141</f>
        <v>***</v>
      </c>
      <c r="CZ10" s="1168">
        <f>Fresno!$E$142</f>
        <v>15493</v>
      </c>
      <c r="DA10" s="1168">
        <f>Fresno!$E$143</f>
        <v>0</v>
      </c>
      <c r="DB10" s="1168">
        <f t="shared" si="19"/>
        <v>1844297</v>
      </c>
      <c r="DC10" s="1168">
        <f>Fresno!$C$148</f>
        <v>1109305</v>
      </c>
      <c r="DD10" s="1168">
        <f>Fresno!$C$149</f>
        <v>734992</v>
      </c>
      <c r="DE10" s="1168">
        <f t="shared" si="20"/>
        <v>1008384</v>
      </c>
      <c r="DF10" s="1168">
        <f>Fresno!$C$151</f>
        <v>324605</v>
      </c>
      <c r="DG10" s="1168">
        <f>Fresno!$C$152</f>
        <v>683779</v>
      </c>
      <c r="DH10" s="1168">
        <f t="shared" si="21"/>
        <v>382148</v>
      </c>
      <c r="DI10" s="1168">
        <f>Fresno!$C$156</f>
        <v>350388</v>
      </c>
      <c r="DJ10" s="1168" t="str">
        <f>Fresno!$C$157</f>
        <v>unk</v>
      </c>
      <c r="DK10" s="1168">
        <f>Fresno!$C$158</f>
        <v>32706</v>
      </c>
      <c r="DL10" s="1168">
        <f t="shared" si="22"/>
        <v>6994</v>
      </c>
      <c r="DM10" s="1168">
        <f>Fresno!$C$160</f>
        <v>329</v>
      </c>
      <c r="DN10" s="1168">
        <f>Fresno!$C$161</f>
        <v>6665</v>
      </c>
      <c r="DO10" s="1168" t="str">
        <f>Fresno!$C$162</f>
        <v>unk</v>
      </c>
      <c r="DP10" s="1168">
        <f t="shared" si="23"/>
        <v>31760</v>
      </c>
      <c r="DQ10" s="1168">
        <f>Fresno!$C$164</f>
        <v>4928</v>
      </c>
      <c r="DR10" s="1168">
        <f>Fresno!$C$165</f>
        <v>26832</v>
      </c>
      <c r="DS10" s="1168" t="str">
        <f>Fresno!$C$166</f>
        <v>unk</v>
      </c>
      <c r="DT10" s="1168">
        <f t="shared" si="24"/>
        <v>6331</v>
      </c>
      <c r="DU10" s="1168">
        <f>Fresno!$C$169</f>
        <v>3943</v>
      </c>
      <c r="DV10" s="1168">
        <f>Fresno!$C$170</f>
        <v>2388</v>
      </c>
      <c r="DW10" s="1168">
        <f t="shared" si="25"/>
        <v>6083</v>
      </c>
      <c r="DX10" s="1168">
        <f>Fresno!$C$172</f>
        <v>2415</v>
      </c>
      <c r="DY10" s="1168">
        <f>Fresno!$C$173</f>
        <v>202</v>
      </c>
      <c r="DZ10" s="1168">
        <f>Fresno!$C$174</f>
        <v>3466</v>
      </c>
      <c r="EA10" s="1168">
        <f t="shared" si="26"/>
        <v>17483</v>
      </c>
      <c r="EB10" s="1168">
        <f>Fresno!$C$176</f>
        <v>4094</v>
      </c>
      <c r="EC10" s="1168">
        <f>Fresno!$C$177</f>
        <v>19</v>
      </c>
      <c r="ED10" s="1168">
        <f>Fresno!$C$178</f>
        <v>13370</v>
      </c>
      <c r="EE10" s="1168">
        <f t="shared" si="27"/>
        <v>2591</v>
      </c>
      <c r="EF10" s="1168">
        <f>Fresno!$C$181</f>
        <v>345</v>
      </c>
      <c r="EG10" s="1168">
        <f>Fresno!$C$182</f>
        <v>2246</v>
      </c>
      <c r="EH10" s="1168">
        <f t="shared" si="28"/>
        <v>2591</v>
      </c>
      <c r="EI10" s="1168">
        <f>Fresno!$C$184</f>
        <v>994</v>
      </c>
      <c r="EJ10" s="1168">
        <f>Fresno!$C$185</f>
        <v>91</v>
      </c>
      <c r="EK10" s="1168">
        <f>Fresno!$C$186</f>
        <v>1506</v>
      </c>
      <c r="EL10" s="1168">
        <f t="shared" si="29"/>
        <v>6986</v>
      </c>
      <c r="EM10" s="1168">
        <f>Fresno!$C$188</f>
        <v>2083</v>
      </c>
      <c r="EN10" s="1168">
        <f>Fresno!$C$189</f>
        <v>67</v>
      </c>
      <c r="EO10" s="1168">
        <f>Fresno!$C$190</f>
        <v>4836</v>
      </c>
      <c r="EP10" s="1168">
        <f t="shared" si="30"/>
        <v>156</v>
      </c>
      <c r="EQ10" s="1168">
        <f>Fresno!$C$195</f>
        <v>154</v>
      </c>
      <c r="ER10" s="1168">
        <f>Fresno!$C$196</f>
        <v>0</v>
      </c>
      <c r="ES10" s="1168">
        <f>Fresno!$C$197</f>
        <v>2</v>
      </c>
      <c r="ET10" s="1168">
        <f t="shared" si="31"/>
        <v>3767</v>
      </c>
      <c r="EU10" s="1168">
        <f>Fresno!$C$199</f>
        <v>3675</v>
      </c>
      <c r="EV10" s="1168">
        <f>Fresno!$C$200</f>
        <v>0</v>
      </c>
      <c r="EW10" s="1168">
        <f>Fresno!$C$201</f>
        <v>92</v>
      </c>
      <c r="EX10" s="1168">
        <f>Fresno!$C$203</f>
        <v>0</v>
      </c>
      <c r="EY10" s="1168">
        <f>Fresno!$C$204</f>
        <v>0</v>
      </c>
      <c r="EZ10" s="1168">
        <f>Fresno!$C$205</f>
        <v>67</v>
      </c>
      <c r="FA10" s="1168">
        <f>Fresno!$C$206</f>
        <v>500</v>
      </c>
      <c r="FB10" s="1168">
        <f>Fresno!$C$207</f>
        <v>0</v>
      </c>
      <c r="FC10" s="1168">
        <f t="shared" si="32"/>
        <v>884</v>
      </c>
      <c r="FD10" s="1168">
        <f>Fresno!$E$212</f>
        <v>134</v>
      </c>
      <c r="FE10" s="1168">
        <f>Fresno!$E$213</f>
        <v>0</v>
      </c>
      <c r="FF10" s="1168">
        <f>Fresno!$E$214</f>
        <v>377</v>
      </c>
      <c r="FG10" s="1168">
        <f>Fresno!$E$215</f>
        <v>304</v>
      </c>
      <c r="FH10" s="1168">
        <f>Fresno!$E$216</f>
        <v>5</v>
      </c>
      <c r="FI10" s="1168">
        <f>Fresno!$E$217</f>
        <v>0</v>
      </c>
      <c r="FJ10" s="1168">
        <f>Fresno!$E$218</f>
        <v>50</v>
      </c>
      <c r="FK10" s="1168">
        <f>Fresno!$E$219</f>
        <v>0</v>
      </c>
      <c r="FL10" s="1168">
        <f>Fresno!$E$220</f>
        <v>0</v>
      </c>
      <c r="FM10" s="1168">
        <f>Fresno!$E$221</f>
        <v>11</v>
      </c>
      <c r="FN10" s="1168">
        <f>Fresno!$E$222</f>
        <v>1</v>
      </c>
      <c r="FO10" s="1168">
        <f>Fresno!$E$223</f>
        <v>0</v>
      </c>
      <c r="FP10" s="1168">
        <f>Fresno!$E$224</f>
        <v>2</v>
      </c>
      <c r="FQ10" s="1168">
        <f>Fresno!$E$225</f>
        <v>0</v>
      </c>
      <c r="FR10" s="1168">
        <f>Fresno!$E$226</f>
        <v>0</v>
      </c>
      <c r="FS10" s="1168">
        <f>Fresno!$E$227</f>
        <v>0</v>
      </c>
      <c r="FT10" s="1168">
        <f>Fresno!$C$230</f>
        <v>8658</v>
      </c>
      <c r="FU10" s="1168">
        <f>Fresno!$C$231</f>
        <v>0</v>
      </c>
      <c r="FV10" s="1168">
        <f>Fresno!$C$232</f>
        <v>590</v>
      </c>
      <c r="FW10" s="1168">
        <f>Fresno!$C$233</f>
        <v>0</v>
      </c>
      <c r="FX10" s="1168">
        <f>Fresno!$C$234</f>
        <v>156</v>
      </c>
      <c r="FY10" s="1168">
        <f>Fresno!$C$235</f>
        <v>0</v>
      </c>
      <c r="FZ10" s="135"/>
      <c r="GA10" s="1146">
        <f>Fresno!$C$239</f>
        <v>82</v>
      </c>
      <c r="GB10" s="1168">
        <f>Fresno!$C$240</f>
        <v>59864</v>
      </c>
      <c r="GC10" s="1168">
        <f>Fresno!$C$241</f>
        <v>62</v>
      </c>
      <c r="GD10" s="1168">
        <f t="shared" si="33"/>
        <v>1985</v>
      </c>
      <c r="GE10" s="1168">
        <f>Fresno!$G$246</f>
        <v>1570</v>
      </c>
      <c r="GF10" s="1168">
        <f>Fresno!$G$247</f>
        <v>29</v>
      </c>
      <c r="GG10" s="1168">
        <f>Fresno!$G$248</f>
        <v>66</v>
      </c>
      <c r="GH10" s="1168">
        <f>Fresno!$G$249</f>
        <v>212</v>
      </c>
      <c r="GI10" s="1168">
        <f>Fresno!$G$250</f>
        <v>108</v>
      </c>
      <c r="GJ10" s="1180" t="str">
        <f>Fresno!$G$251</f>
        <v>unk</v>
      </c>
    </row>
    <row r="11" spans="1:193">
      <c r="A11" s="1095" t="s">
        <v>507</v>
      </c>
      <c r="B11" s="135">
        <f>Fullerton!$C$18</f>
        <v>1</v>
      </c>
      <c r="C11" s="135">
        <f>Fullerton!$C$19</f>
        <v>7</v>
      </c>
      <c r="D11" s="135">
        <f>Fullerton!$C$20</f>
        <v>28</v>
      </c>
      <c r="E11" s="135">
        <f>Fullerton!$C$21</f>
        <v>1</v>
      </c>
      <c r="F11" s="1165">
        <f>Fullerton!$C$22</f>
        <v>6</v>
      </c>
      <c r="G11" s="1166">
        <f>Fullerton!$C$26</f>
        <v>24.23</v>
      </c>
      <c r="H11" s="1166">
        <f>Fullerton!$C$27</f>
        <v>20.23</v>
      </c>
      <c r="I11" s="1166">
        <f>Fullerton!$C$28</f>
        <v>4</v>
      </c>
      <c r="J11" s="1166">
        <f>Fullerton!$C$29</f>
        <v>0</v>
      </c>
      <c r="K11" s="1166">
        <f>Fullerton!$C$30</f>
        <v>0</v>
      </c>
      <c r="L11" s="1166">
        <f>Fullerton!$C$32</f>
        <v>28.5</v>
      </c>
      <c r="M11" s="1166">
        <f>Fullerton!$C$33</f>
        <v>4.5</v>
      </c>
      <c r="N11" s="1166">
        <f>Fullerton!$C$34</f>
        <v>2</v>
      </c>
      <c r="O11" s="1166">
        <f>Fullerton!$C$35</f>
        <v>0</v>
      </c>
      <c r="P11" s="1166">
        <f>Fullerton!$C$36</f>
        <v>0</v>
      </c>
      <c r="Q11" s="1166">
        <f>Fullerton!$C$37</f>
        <v>10.28</v>
      </c>
      <c r="R11" s="1167">
        <f>Fullerton!$C$38</f>
        <v>0.3</v>
      </c>
      <c r="S11" s="1166">
        <f>Fullerton!$C$39</f>
        <v>69.510000000000005</v>
      </c>
      <c r="T11" s="1109">
        <f>Fullerton!$C$44</f>
        <v>1637111</v>
      </c>
      <c r="U11" s="1109">
        <f>Fullerton!$C$45</f>
        <v>1278765</v>
      </c>
      <c r="V11" s="1109">
        <f>Fullerton!$C$46</f>
        <v>358346</v>
      </c>
      <c r="W11" s="1109">
        <f>Fullerton!$C$47</f>
        <v>0</v>
      </c>
      <c r="X11" s="1109">
        <f>Fullerton!$C$48</f>
        <v>1410148</v>
      </c>
      <c r="Y11" s="1109">
        <f>Fullerton!$C$49</f>
        <v>1126479</v>
      </c>
      <c r="Z11" s="1109">
        <f>Fullerton!$C$50</f>
        <v>177806</v>
      </c>
      <c r="AA11" s="1109">
        <f>Fullerton!$C$51</f>
        <v>105863</v>
      </c>
      <c r="AB11" s="1109">
        <f t="shared" si="3"/>
        <v>3047259</v>
      </c>
      <c r="AC11" s="1109">
        <f>Fullerton!$C$52</f>
        <v>194865</v>
      </c>
      <c r="AD11" s="1109">
        <f t="shared" si="4"/>
        <v>3242124</v>
      </c>
      <c r="AE11" s="1109">
        <f t="shared" si="5"/>
        <v>358537</v>
      </c>
      <c r="AF11" s="1109">
        <f>Fullerton!$C$57</f>
        <v>243505</v>
      </c>
      <c r="AG11" s="1109">
        <f>Fullerton!$C$58</f>
        <v>17649</v>
      </c>
      <c r="AH11" s="1109">
        <f>Fullerton!$C$59</f>
        <v>97383</v>
      </c>
      <c r="AI11" s="1109">
        <f t="shared" si="6"/>
        <v>1626053</v>
      </c>
      <c r="AJ11" s="1109">
        <f>Fullerton!$C$61</f>
        <v>462217</v>
      </c>
      <c r="AK11" s="1109">
        <f>Fullerton!$C$62</f>
        <v>1134239</v>
      </c>
      <c r="AL11" s="1109">
        <f>Fullerton!$C$63</f>
        <v>758263</v>
      </c>
      <c r="AM11" s="1109">
        <f>Fullerton!$C$64</f>
        <v>1367</v>
      </c>
      <c r="AN11" s="1109">
        <f>Fullerton!$C$65</f>
        <v>28230</v>
      </c>
      <c r="AO11" s="1109">
        <f>Fullerton!$C$66</f>
        <v>0</v>
      </c>
      <c r="AP11" s="1109">
        <f t="shared" si="0"/>
        <v>5607</v>
      </c>
      <c r="AQ11" s="1109">
        <f>Fullerton!$C$68</f>
        <v>126</v>
      </c>
      <c r="AR11" s="1109">
        <f>Fullerton!$C$69</f>
        <v>5481</v>
      </c>
      <c r="AS11" s="1109">
        <f t="shared" si="7"/>
        <v>227</v>
      </c>
      <c r="AT11" s="1109">
        <f>Fullerton!$C$71</f>
        <v>227</v>
      </c>
      <c r="AU11" s="1109">
        <f>Fullerton!$C$72</f>
        <v>0</v>
      </c>
      <c r="AV11" s="1109">
        <f>Fullerton!$C$73</f>
        <v>0</v>
      </c>
      <c r="AW11" s="1109">
        <f>Fullerton!$C$74</f>
        <v>0</v>
      </c>
      <c r="AX11" s="1109">
        <f>Fullerton!$C$75</f>
        <v>0</v>
      </c>
      <c r="AY11" s="1109">
        <f t="shared" si="1"/>
        <v>1990424</v>
      </c>
      <c r="AZ11" s="1109">
        <f t="shared" si="8"/>
        <v>182157.91999999998</v>
      </c>
      <c r="BA11" s="1109">
        <f>Fullerton!$C$81</f>
        <v>110137</v>
      </c>
      <c r="BB11" s="1109">
        <f>Fullerton!$C$82</f>
        <v>36061.919999999998</v>
      </c>
      <c r="BC11" s="1109">
        <f>Fullerton!$C$83</f>
        <v>30886</v>
      </c>
      <c r="BD11" s="1109">
        <f>Fullerton!$C$84</f>
        <v>231</v>
      </c>
      <c r="BE11" s="1109">
        <f>Fullerton!$C$85</f>
        <v>4842</v>
      </c>
      <c r="BF11" s="1109">
        <f>Fullerton!$C$86</f>
        <v>14872</v>
      </c>
      <c r="BG11" s="1109">
        <f t="shared" si="9"/>
        <v>132.52000000000001</v>
      </c>
      <c r="BH11" s="1109">
        <f>Fullerton!$C$88</f>
        <v>0</v>
      </c>
      <c r="BI11" s="1109">
        <f>Fullerton!$C$89</f>
        <v>132.52000000000001</v>
      </c>
      <c r="BJ11" s="1109">
        <f>Fullerton!$C$90</f>
        <v>0</v>
      </c>
      <c r="BK11" s="1109">
        <f>Fullerton!$C$91</f>
        <v>5222</v>
      </c>
      <c r="BL11" s="1109">
        <f>Fullerton!$C$92</f>
        <v>137026</v>
      </c>
      <c r="BM11" s="1109">
        <f>Fullerton!$C$93</f>
        <v>60974</v>
      </c>
      <c r="BN11" s="1109">
        <f>Fullerton!$C$94</f>
        <v>131775</v>
      </c>
      <c r="BO11" s="1109">
        <f t="shared" si="2"/>
        <v>5764707.4399999995</v>
      </c>
      <c r="BP11" s="1109">
        <f>Fullerton!$C$96</f>
        <v>0</v>
      </c>
      <c r="BQ11" s="1109">
        <f t="shared" si="10"/>
        <v>5764707.4399999995</v>
      </c>
      <c r="BR11" s="1168">
        <f t="shared" si="11"/>
        <v>1293454</v>
      </c>
      <c r="BS11" s="1168">
        <f>Fullerton!$E$104</f>
        <v>1172106</v>
      </c>
      <c r="BT11" s="1168">
        <f>Fullerton!$C$105</f>
        <v>4917</v>
      </c>
      <c r="BU11" s="1168">
        <f>Fullerton!$C$106</f>
        <v>4823</v>
      </c>
      <c r="BV11" s="1168">
        <f>Fullerton!$E$107</f>
        <v>76181</v>
      </c>
      <c r="BW11" s="1168">
        <f>Fullerton!$E$108</f>
        <v>19683</v>
      </c>
      <c r="BX11" s="1168">
        <f>Fullerton!$E$109</f>
        <v>15744</v>
      </c>
      <c r="BY11" s="1168" t="str">
        <f>Fullerton!$E$110</f>
        <v>NA</v>
      </c>
      <c r="BZ11" s="1168">
        <f t="shared" si="12"/>
        <v>46384</v>
      </c>
      <c r="CA11" s="1168">
        <f>Fullerton!$E$112</f>
        <v>13609</v>
      </c>
      <c r="CB11" s="1168">
        <f>Fullerton!$E$113</f>
        <v>32775</v>
      </c>
      <c r="CC11" s="1168">
        <f t="shared" si="13"/>
        <v>67927</v>
      </c>
      <c r="CD11" s="1168">
        <f t="shared" si="14"/>
        <v>12171</v>
      </c>
      <c r="CE11" s="1168">
        <f>Fullerton!$E$117</f>
        <v>844</v>
      </c>
      <c r="CF11" s="1168">
        <f>Fullerton!$E$118</f>
        <v>11327</v>
      </c>
      <c r="CG11" s="1168">
        <f t="shared" si="15"/>
        <v>55756</v>
      </c>
      <c r="CH11" s="1168">
        <f>Fullerton!$E$120</f>
        <v>100</v>
      </c>
      <c r="CI11" s="1168">
        <f>Fullerton!$E$121</f>
        <v>52818</v>
      </c>
      <c r="CJ11" s="1168">
        <f>Fullerton!$E$122</f>
        <v>2838</v>
      </c>
      <c r="CK11" s="1168">
        <f t="shared" si="16"/>
        <v>31410</v>
      </c>
      <c r="CL11" s="1168">
        <f>Fullerton!$E$126</f>
        <v>23134</v>
      </c>
      <c r="CM11" s="1168">
        <f>Fullerton!$E$127</f>
        <v>8276</v>
      </c>
      <c r="CN11" s="1168">
        <f t="shared" si="17"/>
        <v>37654.6</v>
      </c>
      <c r="CO11" s="1168">
        <f>Fullerton!$E$130</f>
        <v>10089</v>
      </c>
      <c r="CP11" s="1168">
        <f>Fullerton!$E$131</f>
        <v>15522</v>
      </c>
      <c r="CQ11" s="1168">
        <f>Fullerton!$E$132</f>
        <v>984</v>
      </c>
      <c r="CR11" s="1168">
        <f t="shared" si="18"/>
        <v>0</v>
      </c>
      <c r="CS11" s="1168" t="str">
        <f>Fullerton!$E$134</f>
        <v>NA</v>
      </c>
      <c r="CT11" s="1168" t="str">
        <f>Fullerton!$E$135</f>
        <v>NA</v>
      </c>
      <c r="CU11" s="1168">
        <f>Fullerton!$E$136</f>
        <v>0</v>
      </c>
      <c r="CV11" s="1168">
        <f>Fullerton!$E$138</f>
        <v>1</v>
      </c>
      <c r="CW11" s="1168">
        <f>Fullerton!$E$139</f>
        <v>1737</v>
      </c>
      <c r="CX11" s="1168">
        <f>Fullerton!$E$140</f>
        <v>3.6</v>
      </c>
      <c r="CY11" s="1168" t="str">
        <f>Fullerton!$E$141</f>
        <v>NA</v>
      </c>
      <c r="CZ11" s="1168">
        <f>Fullerton!$E$142</f>
        <v>3318</v>
      </c>
      <c r="DA11" s="1168">
        <f>Fullerton!$E$143</f>
        <v>6000</v>
      </c>
      <c r="DB11" s="1168">
        <f t="shared" si="19"/>
        <v>496126</v>
      </c>
      <c r="DC11" s="1168">
        <f>Fullerton!$C$148</f>
        <v>302508</v>
      </c>
      <c r="DD11" s="1168">
        <f>Fullerton!$C$149</f>
        <v>193618</v>
      </c>
      <c r="DE11" s="1168">
        <f t="shared" si="20"/>
        <v>210688</v>
      </c>
      <c r="DF11" s="1168">
        <f>Fullerton!$C$151</f>
        <v>107492</v>
      </c>
      <c r="DG11" s="1168">
        <f>Fullerton!$C$152</f>
        <v>103196</v>
      </c>
      <c r="DH11" s="1168">
        <f t="shared" si="21"/>
        <v>171597</v>
      </c>
      <c r="DI11" s="1168">
        <f>Fullerton!$C$156</f>
        <v>119072</v>
      </c>
      <c r="DJ11" s="1168">
        <f>Fullerton!$C$157</f>
        <v>16552</v>
      </c>
      <c r="DK11" s="1168">
        <f>Fullerton!$C$158</f>
        <v>39865</v>
      </c>
      <c r="DL11" s="1168">
        <f t="shared" si="22"/>
        <v>4826</v>
      </c>
      <c r="DM11" s="1168">
        <f>Fullerton!$C$160</f>
        <v>1215</v>
      </c>
      <c r="DN11" s="1168">
        <f>Fullerton!$C$161</f>
        <v>1583</v>
      </c>
      <c r="DO11" s="1168">
        <f>Fullerton!$C$162</f>
        <v>2028</v>
      </c>
      <c r="DP11" s="1168">
        <f t="shared" si="23"/>
        <v>35973</v>
      </c>
      <c r="DQ11" s="1168">
        <f>Fullerton!$C$164</f>
        <v>8051</v>
      </c>
      <c r="DR11" s="1168">
        <f>Fullerton!$C$165</f>
        <v>27922</v>
      </c>
      <c r="DS11" s="1168">
        <f>Fullerton!$C$166</f>
        <v>0</v>
      </c>
      <c r="DT11" s="1168">
        <f t="shared" si="24"/>
        <v>15479</v>
      </c>
      <c r="DU11" s="1168">
        <f>Fullerton!$C$169</f>
        <v>7274</v>
      </c>
      <c r="DV11" s="1168">
        <f>Fullerton!$C$170</f>
        <v>8205</v>
      </c>
      <c r="DW11" s="1168">
        <f t="shared" si="25"/>
        <v>15479</v>
      </c>
      <c r="DX11" s="1168">
        <f>Fullerton!$C$172</f>
        <v>5605</v>
      </c>
      <c r="DY11" s="1168">
        <f>Fullerton!$C$173</f>
        <v>1128</v>
      </c>
      <c r="DZ11" s="1168">
        <f>Fullerton!$C$174</f>
        <v>8746</v>
      </c>
      <c r="EA11" s="1168">
        <f t="shared" si="26"/>
        <v>0</v>
      </c>
      <c r="EB11" s="1168">
        <f>Fullerton!$C$176</f>
        <v>0</v>
      </c>
      <c r="EC11" s="1168">
        <f>Fullerton!$C$177</f>
        <v>0</v>
      </c>
      <c r="ED11" s="1168">
        <f>Fullerton!$C$178</f>
        <v>0</v>
      </c>
      <c r="EE11" s="1168">
        <f t="shared" si="27"/>
        <v>28073</v>
      </c>
      <c r="EF11" s="1168">
        <f>Fullerton!$C$181</f>
        <v>12893</v>
      </c>
      <c r="EG11" s="1168">
        <f>Fullerton!$C$182</f>
        <v>15180</v>
      </c>
      <c r="EH11" s="1168">
        <f t="shared" si="28"/>
        <v>28073</v>
      </c>
      <c r="EI11" s="1168">
        <f>Fullerton!$C$184</f>
        <v>10872</v>
      </c>
      <c r="EJ11" s="1168">
        <f>Fullerton!$C$185</f>
        <v>1278</v>
      </c>
      <c r="EK11" s="1168">
        <f>Fullerton!$C$186</f>
        <v>15923</v>
      </c>
      <c r="EL11" s="1168">
        <f t="shared" si="29"/>
        <v>1800</v>
      </c>
      <c r="EM11" s="1168">
        <f>Fullerton!$C$188</f>
        <v>0</v>
      </c>
      <c r="EN11" s="1168">
        <f>Fullerton!$C$189</f>
        <v>0</v>
      </c>
      <c r="EO11" s="1168">
        <f>Fullerton!$C$190</f>
        <v>1800</v>
      </c>
      <c r="EP11" s="1168">
        <f t="shared" si="30"/>
        <v>499</v>
      </c>
      <c r="EQ11" s="1168">
        <f>Fullerton!$C$195</f>
        <v>485</v>
      </c>
      <c r="ER11" s="1168">
        <f>Fullerton!$C$196</f>
        <v>14</v>
      </c>
      <c r="ES11" s="1168" t="str">
        <f>Fullerton!$C$197</f>
        <v>UNK</v>
      </c>
      <c r="ET11" s="1168">
        <f t="shared" si="31"/>
        <v>14542</v>
      </c>
      <c r="EU11" s="1168">
        <f>Fullerton!$C$199</f>
        <v>14192</v>
      </c>
      <c r="EV11" s="1168">
        <f>Fullerton!$C$200</f>
        <v>350</v>
      </c>
      <c r="EW11" s="1168" t="str">
        <f>Fullerton!$C$201</f>
        <v>UNK</v>
      </c>
      <c r="EX11" s="1168">
        <f>Fullerton!$C$203</f>
        <v>0</v>
      </c>
      <c r="EY11" s="1168">
        <f>Fullerton!$C$204</f>
        <v>0</v>
      </c>
      <c r="EZ11" s="1168">
        <f>Fullerton!$C$205</f>
        <v>14</v>
      </c>
      <c r="FA11" s="1168">
        <f>Fullerton!$C$206</f>
        <v>350</v>
      </c>
      <c r="FB11" s="1168" t="str">
        <f>Fullerton!$C$207</f>
        <v>UNK</v>
      </c>
      <c r="FC11" s="1168">
        <f t="shared" si="32"/>
        <v>1169</v>
      </c>
      <c r="FD11" s="1168">
        <f>Fullerton!$E$212</f>
        <v>570</v>
      </c>
      <c r="FE11" s="1168">
        <f>Fullerton!$E$213</f>
        <v>461</v>
      </c>
      <c r="FF11" s="1168">
        <f>Fullerton!$E$214</f>
        <v>28</v>
      </c>
      <c r="FG11" s="1168">
        <f>Fullerton!$E$215</f>
        <v>26</v>
      </c>
      <c r="FH11" s="1168">
        <f>Fullerton!$E$216</f>
        <v>2</v>
      </c>
      <c r="FI11" s="1168">
        <f>Fullerton!$E$217</f>
        <v>0</v>
      </c>
      <c r="FJ11" s="1168">
        <f>Fullerton!$E$218</f>
        <v>25</v>
      </c>
      <c r="FK11" s="1168">
        <f>Fullerton!$E$219</f>
        <v>0</v>
      </c>
      <c r="FL11" s="1168">
        <f>Fullerton!$E$220</f>
        <v>23</v>
      </c>
      <c r="FM11" s="1168">
        <f>Fullerton!$E$221</f>
        <v>23</v>
      </c>
      <c r="FN11" s="1168">
        <f>Fullerton!$E$222</f>
        <v>3</v>
      </c>
      <c r="FO11" s="1168">
        <f>Fullerton!$E$223</f>
        <v>0</v>
      </c>
      <c r="FP11" s="1168">
        <f>Fullerton!$E$224</f>
        <v>0</v>
      </c>
      <c r="FQ11" s="1168">
        <f>Fullerton!$E$225</f>
        <v>0</v>
      </c>
      <c r="FR11" s="1168">
        <f>Fullerton!$E$226</f>
        <v>4</v>
      </c>
      <c r="FS11" s="1168">
        <f>Fullerton!$E$227</f>
        <v>4</v>
      </c>
      <c r="FT11" s="1168">
        <f>Fullerton!$C$230</f>
        <v>13285</v>
      </c>
      <c r="FU11" s="1168" t="str">
        <f>Fullerton!$C$231</f>
        <v>unk</v>
      </c>
      <c r="FV11" s="1168">
        <f>Fullerton!$C$232</f>
        <v>155</v>
      </c>
      <c r="FW11" s="1168">
        <f>Fullerton!$C$233</f>
        <v>311</v>
      </c>
      <c r="FX11" s="1168">
        <f>Fullerton!$C$234</f>
        <v>643</v>
      </c>
      <c r="FY11" s="1168">
        <f>Fullerton!$C$235</f>
        <v>0</v>
      </c>
      <c r="FZ11" s="135"/>
      <c r="GA11" s="1146">
        <f>Fullerton!$C$239</f>
        <v>76</v>
      </c>
      <c r="GB11" s="1168">
        <f>Fullerton!$C$240</f>
        <v>91048</v>
      </c>
      <c r="GC11" s="1168">
        <f>Fullerton!$C$241</f>
        <v>112</v>
      </c>
      <c r="GD11" s="1168">
        <f t="shared" si="33"/>
        <v>1237</v>
      </c>
      <c r="GE11" s="1168">
        <f>Fullerton!$G$246</f>
        <v>816</v>
      </c>
      <c r="GF11" s="1168">
        <f>Fullerton!$G$247</f>
        <v>276</v>
      </c>
      <c r="GG11" s="1168">
        <f>Fullerton!$G$248</f>
        <v>2</v>
      </c>
      <c r="GH11" s="1168">
        <f>Fullerton!$G$249</f>
        <v>17</v>
      </c>
      <c r="GI11" s="1168">
        <f>Fullerton!$G$250</f>
        <v>126</v>
      </c>
      <c r="GJ11" s="1180" t="str">
        <f>Fullerton!$G$251</f>
        <v>NA</v>
      </c>
    </row>
    <row r="12" spans="1:193">
      <c r="A12" s="1095" t="s">
        <v>754</v>
      </c>
      <c r="B12" s="135">
        <f>Humboldt!$C$18</f>
        <v>0</v>
      </c>
      <c r="C12" s="135">
        <f>Humboldt!$C$19</f>
        <v>10</v>
      </c>
      <c r="D12" s="135">
        <f>Humboldt!$C$20</f>
        <v>9</v>
      </c>
      <c r="E12" s="135">
        <f>Humboldt!$C$21</f>
        <v>1</v>
      </c>
      <c r="F12" s="1165">
        <f>Humboldt!$C$22</f>
        <v>4</v>
      </c>
      <c r="G12" s="1166">
        <f>Humboldt!$C$26</f>
        <v>11</v>
      </c>
      <c r="H12" s="1166">
        <f>Humboldt!$C$27</f>
        <v>9</v>
      </c>
      <c r="I12" s="1166">
        <f>Humboldt!$C$28</f>
        <v>1</v>
      </c>
      <c r="J12" s="1166">
        <f>Humboldt!$C$29</f>
        <v>1</v>
      </c>
      <c r="K12" s="1166">
        <f>Humboldt!$C$30</f>
        <v>0</v>
      </c>
      <c r="L12" s="1166">
        <f>Humboldt!$C$32</f>
        <v>12.75</v>
      </c>
      <c r="M12" s="1166">
        <f>Humboldt!$C$33</f>
        <v>3.4</v>
      </c>
      <c r="N12" s="1166">
        <f>Humboldt!$C$34</f>
        <v>3</v>
      </c>
      <c r="O12" s="1166">
        <f>Humboldt!$C$35</f>
        <v>0</v>
      </c>
      <c r="P12" s="1166">
        <f>Humboldt!$C$36</f>
        <v>0</v>
      </c>
      <c r="Q12" s="1166">
        <f>Humboldt!$C$37</f>
        <v>9.0847999999999995</v>
      </c>
      <c r="R12" s="1167">
        <f>Humboldt!$C$38</f>
        <v>0.32912000000000002</v>
      </c>
      <c r="S12" s="1166">
        <f>Humboldt!$C$39</f>
        <v>39.2348</v>
      </c>
      <c r="T12" s="1109">
        <f>Humboldt!$C$44</f>
        <v>955002</v>
      </c>
      <c r="U12" s="1109">
        <f>Humboldt!$C$45</f>
        <v>779561</v>
      </c>
      <c r="V12" s="1109">
        <f>Humboldt!$C$46</f>
        <v>175441</v>
      </c>
      <c r="W12" s="1109">
        <f>Humboldt!$C$47</f>
        <v>0</v>
      </c>
      <c r="X12" s="1109">
        <f>Humboldt!$C$48</f>
        <v>799812.61</v>
      </c>
      <c r="Y12" s="1109">
        <f>Humboldt!$C$49</f>
        <v>515906</v>
      </c>
      <c r="Z12" s="1109">
        <f>Humboldt!$C$50</f>
        <v>132575</v>
      </c>
      <c r="AA12" s="1109">
        <f>Humboldt!$C$51</f>
        <v>151331.60999999999</v>
      </c>
      <c r="AB12" s="1109">
        <f t="shared" si="3"/>
        <v>1754814.6099999999</v>
      </c>
      <c r="AC12" s="1109">
        <f>Humboldt!$C$52</f>
        <v>105674</v>
      </c>
      <c r="AD12" s="1109">
        <f t="shared" si="4"/>
        <v>1860488.6099999999</v>
      </c>
      <c r="AE12" s="1109">
        <f t="shared" si="5"/>
        <v>92668</v>
      </c>
      <c r="AF12" s="1109">
        <f>Humboldt!$C$57</f>
        <v>92668</v>
      </c>
      <c r="AG12" s="1172" t="s">
        <v>378</v>
      </c>
      <c r="AH12" s="1169" t="str">
        <f>Humboldt!$C$59</f>
        <v>N/A</v>
      </c>
      <c r="AI12" s="1109">
        <f t="shared" si="6"/>
        <v>643307</v>
      </c>
      <c r="AJ12" s="1170">
        <f>Humboldt!$C$61</f>
        <v>218059</v>
      </c>
      <c r="AK12" s="1170">
        <f>Humboldt!$C$62</f>
        <v>405261</v>
      </c>
      <c r="AL12" s="1170" t="str">
        <f>Humboldt!$C$63</f>
        <v>n/a</v>
      </c>
      <c r="AM12" s="1170">
        <f>Humboldt!$C$64</f>
        <v>19987</v>
      </c>
      <c r="AN12" s="1170">
        <f>Humboldt!$C$65</f>
        <v>0</v>
      </c>
      <c r="AO12" s="1170">
        <f>Humboldt!$C$66</f>
        <v>0</v>
      </c>
      <c r="AP12" s="1109">
        <f t="shared" si="0"/>
        <v>18696</v>
      </c>
      <c r="AQ12" s="1170">
        <f>Humboldt!$C$68</f>
        <v>1025</v>
      </c>
      <c r="AR12" s="1170">
        <f>Humboldt!$C$69</f>
        <v>17671</v>
      </c>
      <c r="AS12" s="1109">
        <f t="shared" si="7"/>
        <v>265</v>
      </c>
      <c r="AT12" s="1170">
        <f>Humboldt!$C$71</f>
        <v>265</v>
      </c>
      <c r="AU12" s="1170">
        <f>Humboldt!$C$72</f>
        <v>0</v>
      </c>
      <c r="AV12" s="1170">
        <f>Humboldt!$C$73</f>
        <v>0</v>
      </c>
      <c r="AW12" s="1170">
        <f>Humboldt!$C$74</f>
        <v>0</v>
      </c>
      <c r="AX12" s="1170">
        <f>Humboldt!$C$75</f>
        <v>0</v>
      </c>
      <c r="AY12" s="1109">
        <f t="shared" si="1"/>
        <v>754936</v>
      </c>
      <c r="AZ12" s="1109">
        <f t="shared" si="8"/>
        <v>11017.27</v>
      </c>
      <c r="BA12" s="1170">
        <f>Humboldt!$C$81</f>
        <v>0</v>
      </c>
      <c r="BB12" s="1170">
        <f>Humboldt!$C$82</f>
        <v>8531.7099999999991</v>
      </c>
      <c r="BC12" s="1170">
        <f>Humboldt!$C$83</f>
        <v>493.6</v>
      </c>
      <c r="BD12" s="1170">
        <f>Humboldt!$C$84</f>
        <v>323</v>
      </c>
      <c r="BE12" s="1170">
        <f>Humboldt!$C$85</f>
        <v>1668.96</v>
      </c>
      <c r="BF12" s="1170" t="str">
        <f>Humboldt!$C$86</f>
        <v>NA</v>
      </c>
      <c r="BG12" s="1109">
        <f t="shared" si="9"/>
        <v>7056</v>
      </c>
      <c r="BH12" s="1170">
        <f>Humboldt!$C$88</f>
        <v>819</v>
      </c>
      <c r="BI12" s="1170">
        <f>Humboldt!$C$89</f>
        <v>6237</v>
      </c>
      <c r="BJ12" s="1170" t="str">
        <f>Humboldt!$C$90</f>
        <v>NA</v>
      </c>
      <c r="BK12" s="1170">
        <f>Humboldt!$C$91</f>
        <v>19087</v>
      </c>
      <c r="BL12" s="1170">
        <f>Humboldt!$C$92</f>
        <v>64262</v>
      </c>
      <c r="BM12" s="1170">
        <f>Humboldt!$C$93</f>
        <v>36078</v>
      </c>
      <c r="BN12" s="1170">
        <f>Humboldt!$C$94</f>
        <v>161861</v>
      </c>
      <c r="BO12" s="1109">
        <f t="shared" si="2"/>
        <v>2914785.88</v>
      </c>
      <c r="BP12" s="1170">
        <f>Humboldt!$C$96</f>
        <v>690248</v>
      </c>
      <c r="BQ12" s="1109">
        <f t="shared" si="10"/>
        <v>3605033.88</v>
      </c>
      <c r="BR12" s="1168">
        <f t="shared" si="11"/>
        <v>580869</v>
      </c>
      <c r="BS12" s="1171">
        <f>Humboldt!$E$104</f>
        <v>521140</v>
      </c>
      <c r="BT12" s="1171">
        <f>Humboldt!$C$105</f>
        <v>1896</v>
      </c>
      <c r="BU12" s="1171">
        <f>Humboldt!$C$106</f>
        <v>687</v>
      </c>
      <c r="BV12" s="1171">
        <f>Humboldt!$E$107</f>
        <v>43429</v>
      </c>
      <c r="BW12" s="1171">
        <f>Humboldt!$E$108</f>
        <v>11305</v>
      </c>
      <c r="BX12" s="1171">
        <f>Humboldt!$E$109</f>
        <v>2412</v>
      </c>
      <c r="BY12" s="1171">
        <f>Humboldt!$E$110</f>
        <v>0</v>
      </c>
      <c r="BZ12" s="1168">
        <f t="shared" si="12"/>
        <v>82431</v>
      </c>
      <c r="CA12" s="1171">
        <f>Humboldt!$E$112</f>
        <v>52800</v>
      </c>
      <c r="CB12" s="1171">
        <f>Humboldt!$E$113</f>
        <v>29631</v>
      </c>
      <c r="CC12" s="1168">
        <f t="shared" si="13"/>
        <v>53800</v>
      </c>
      <c r="CD12" s="1168">
        <f t="shared" si="14"/>
        <v>21644</v>
      </c>
      <c r="CE12" s="1171">
        <f>Humboldt!$E$117</f>
        <v>461</v>
      </c>
      <c r="CF12" s="1171">
        <f>Humboldt!$E$118</f>
        <v>21183</v>
      </c>
      <c r="CG12" s="1168">
        <f t="shared" si="15"/>
        <v>32156</v>
      </c>
      <c r="CH12" s="1171">
        <f>Humboldt!$E$120</f>
        <v>172</v>
      </c>
      <c r="CI12" s="1171">
        <f>Humboldt!$E$121</f>
        <v>24786</v>
      </c>
      <c r="CJ12" s="1171">
        <f>Humboldt!$E$122</f>
        <v>7198</v>
      </c>
      <c r="CK12" s="1168">
        <f t="shared" si="16"/>
        <v>20331</v>
      </c>
      <c r="CL12" s="1171">
        <f>Humboldt!$E$126</f>
        <v>11713</v>
      </c>
      <c r="CM12" s="1171">
        <f>Humboldt!$E$127</f>
        <v>8618</v>
      </c>
      <c r="CN12" s="1168">
        <f t="shared" si="17"/>
        <v>2178013</v>
      </c>
      <c r="CO12" s="1171">
        <f>Humboldt!$E$130</f>
        <v>31051</v>
      </c>
      <c r="CP12" s="1171">
        <f>Humboldt!$E$131</f>
        <v>8275</v>
      </c>
      <c r="CQ12" s="1171">
        <f>Humboldt!$E$132</f>
        <v>9865</v>
      </c>
      <c r="CR12" s="1168">
        <f t="shared" si="18"/>
        <v>606178</v>
      </c>
      <c r="CS12" s="1171">
        <f>Humboldt!$E$134</f>
        <v>2783</v>
      </c>
      <c r="CT12" s="1171">
        <f>Humboldt!$E$135</f>
        <v>603395</v>
      </c>
      <c r="CU12" s="1171">
        <f>Humboldt!$E$136</f>
        <v>389426</v>
      </c>
      <c r="CV12" s="1171">
        <f>Humboldt!$E$138</f>
        <v>7</v>
      </c>
      <c r="CW12" s="1171">
        <f>Humboldt!$E$139</f>
        <v>5406</v>
      </c>
      <c r="CX12" s="1171" t="str">
        <f>Humboldt!$E$140</f>
        <v>6.5 GB</v>
      </c>
      <c r="CY12" s="1171">
        <f>Humboldt!$E$141</f>
        <v>178764</v>
      </c>
      <c r="CZ12" s="1171">
        <f>Humboldt!$E$142</f>
        <v>3308</v>
      </c>
      <c r="DA12" s="1171">
        <f>Humboldt!$E$143</f>
        <v>339555</v>
      </c>
      <c r="DB12" s="1168">
        <f t="shared" si="19"/>
        <v>1164454</v>
      </c>
      <c r="DC12" s="1171">
        <f>Humboldt!$C$148</f>
        <v>852830</v>
      </c>
      <c r="DD12" s="1171">
        <f>Humboldt!$C$149</f>
        <v>311624</v>
      </c>
      <c r="DE12" s="1168">
        <f t="shared" si="20"/>
        <v>229163</v>
      </c>
      <c r="DF12" s="1171">
        <f>Humboldt!$C$151</f>
        <v>229163</v>
      </c>
      <c r="DG12" s="1171" t="str">
        <f>Humboldt!$C$152</f>
        <v>N/A</v>
      </c>
      <c r="DH12" s="1168">
        <f t="shared" si="21"/>
        <v>203189</v>
      </c>
      <c r="DI12" s="1171">
        <f>Humboldt!$C$156</f>
        <v>63770</v>
      </c>
      <c r="DJ12" s="1171">
        <f>Humboldt!$C$157</f>
        <v>15656</v>
      </c>
      <c r="DK12" s="1171">
        <f>Humboldt!$C$158</f>
        <v>67241</v>
      </c>
      <c r="DL12" s="1168">
        <f t="shared" si="22"/>
        <v>59</v>
      </c>
      <c r="DM12" s="1171">
        <f>Humboldt!$C$160</f>
        <v>53</v>
      </c>
      <c r="DN12" s="1171">
        <f>Humboldt!$C$161</f>
        <v>0</v>
      </c>
      <c r="DO12" s="1171">
        <f>Humboldt!$C$162</f>
        <v>6</v>
      </c>
      <c r="DP12" s="1168">
        <f t="shared" si="23"/>
        <v>123763</v>
      </c>
      <c r="DQ12" s="1171">
        <f>Humboldt!$C$164</f>
        <v>16210</v>
      </c>
      <c r="DR12" s="1171">
        <f>Humboldt!$C$165</f>
        <v>107553</v>
      </c>
      <c r="DS12" s="1171" t="str">
        <f>Humboldt!$C$166</f>
        <v>NA</v>
      </c>
      <c r="DT12" s="1168">
        <f t="shared" si="24"/>
        <v>4679</v>
      </c>
      <c r="DU12" s="1171">
        <f>Humboldt!$C$169</f>
        <v>2417</v>
      </c>
      <c r="DV12" s="1171">
        <f>Humboldt!$C$170</f>
        <v>2262</v>
      </c>
      <c r="DW12" s="1168">
        <f t="shared" si="25"/>
        <v>4679</v>
      </c>
      <c r="DX12" s="1171">
        <f>Humboldt!$C$172</f>
        <v>2200</v>
      </c>
      <c r="DY12" s="1171">
        <f>Humboldt!$C$173</f>
        <v>365</v>
      </c>
      <c r="DZ12" s="1171">
        <f>Humboldt!$C$174</f>
        <v>2114</v>
      </c>
      <c r="EA12" s="1168">
        <f t="shared" si="26"/>
        <v>0</v>
      </c>
      <c r="EB12" s="1171">
        <f>Humboldt!$C$176</f>
        <v>0</v>
      </c>
      <c r="EC12" s="1171">
        <f>Humboldt!$C$177</f>
        <v>0</v>
      </c>
      <c r="ED12" s="1171">
        <f>Humboldt!$C$178</f>
        <v>0</v>
      </c>
      <c r="EE12" s="1168">
        <f t="shared" si="27"/>
        <v>6696</v>
      </c>
      <c r="EF12" s="1171">
        <f>Humboldt!$C$181</f>
        <v>3002</v>
      </c>
      <c r="EG12" s="1171">
        <f>Humboldt!$C$182</f>
        <v>3694</v>
      </c>
      <c r="EH12" s="1168">
        <f t="shared" si="28"/>
        <v>3709</v>
      </c>
      <c r="EI12" s="1171">
        <f>Humboldt!$C$184</f>
        <v>2985</v>
      </c>
      <c r="EJ12" s="1171">
        <f>Humboldt!$C$185</f>
        <v>234</v>
      </c>
      <c r="EK12" s="1171">
        <f>Humboldt!$C$186</f>
        <v>490</v>
      </c>
      <c r="EL12" s="1168">
        <f t="shared" si="29"/>
        <v>0</v>
      </c>
      <c r="EM12" s="1171">
        <f>Humboldt!$C$188</f>
        <v>0</v>
      </c>
      <c r="EN12" s="1171">
        <f>Humboldt!$C$189</f>
        <v>0</v>
      </c>
      <c r="EO12" s="1171">
        <f>Humboldt!$C$190</f>
        <v>0</v>
      </c>
      <c r="EP12" s="1168">
        <f t="shared" si="30"/>
        <v>122</v>
      </c>
      <c r="EQ12" s="1171">
        <f>Humboldt!$C$195</f>
        <v>98</v>
      </c>
      <c r="ER12" s="1171">
        <f>Humboldt!$C$196</f>
        <v>1</v>
      </c>
      <c r="ES12" s="1171">
        <f>Humboldt!$C$197</f>
        <v>23</v>
      </c>
      <c r="ET12" s="1168">
        <f t="shared" si="31"/>
        <v>4329</v>
      </c>
      <c r="EU12" s="1171">
        <f>Humboldt!$C$199</f>
        <v>2204</v>
      </c>
      <c r="EV12" s="1171">
        <f>Humboldt!$C$200</f>
        <v>5</v>
      </c>
      <c r="EW12" s="1171">
        <f>Humboldt!$C$201</f>
        <v>2120</v>
      </c>
      <c r="EX12" s="1171">
        <f>Humboldt!$C$203</f>
        <v>0</v>
      </c>
      <c r="EY12" s="1171">
        <f>Humboldt!$C$204</f>
        <v>0</v>
      </c>
      <c r="EZ12" s="1171">
        <f>Humboldt!$C$205</f>
        <v>4</v>
      </c>
      <c r="FA12" s="1171">
        <f>Humboldt!$C$206</f>
        <v>26</v>
      </c>
      <c r="FB12" s="1171">
        <f>Humboldt!$C$207</f>
        <v>0</v>
      </c>
      <c r="FC12" s="1168">
        <f t="shared" si="32"/>
        <v>329</v>
      </c>
      <c r="FD12" s="1171">
        <f>Humboldt!$E$212</f>
        <v>147</v>
      </c>
      <c r="FE12" s="1171">
        <f>Humboldt!$E$213</f>
        <v>87</v>
      </c>
      <c r="FF12" s="1171">
        <f>Humboldt!$E$214</f>
        <v>0</v>
      </c>
      <c r="FG12" s="1171">
        <f>Humboldt!$E$215</f>
        <v>0</v>
      </c>
      <c r="FH12" s="1171">
        <f>Humboldt!$E$216</f>
        <v>0</v>
      </c>
      <c r="FI12" s="1171">
        <f>Humboldt!$E$217</f>
        <v>0</v>
      </c>
      <c r="FJ12" s="1171">
        <f>Humboldt!$E$218</f>
        <v>65</v>
      </c>
      <c r="FK12" s="1171">
        <f>Humboldt!$E$219</f>
        <v>0</v>
      </c>
      <c r="FL12" s="1171">
        <f>Humboldt!$E$220</f>
        <v>14</v>
      </c>
      <c r="FM12" s="1171">
        <f>Humboldt!$E$221</f>
        <v>12</v>
      </c>
      <c r="FN12" s="1171">
        <f>Humboldt!$E$222</f>
        <v>0</v>
      </c>
      <c r="FO12" s="1171">
        <f>Humboldt!$E$223</f>
        <v>0</v>
      </c>
      <c r="FP12" s="1171">
        <f>Humboldt!$E$224</f>
        <v>0</v>
      </c>
      <c r="FQ12" s="1171">
        <f>Humboldt!$E$225</f>
        <v>0</v>
      </c>
      <c r="FR12" s="1171">
        <f>Humboldt!$E$226</f>
        <v>2</v>
      </c>
      <c r="FS12" s="1171">
        <f>Humboldt!$E$227</f>
        <v>2</v>
      </c>
      <c r="FT12" s="1171">
        <f>Humboldt!$C$230</f>
        <v>4356</v>
      </c>
      <c r="FU12" s="1171" t="str">
        <f>Humboldt!$C$231</f>
        <v>N/A</v>
      </c>
      <c r="FV12" s="1171">
        <f>Humboldt!$C$232</f>
        <v>23</v>
      </c>
      <c r="FW12" s="1171" t="str">
        <f>Humboldt!$C$233</f>
        <v>N/A</v>
      </c>
      <c r="FX12" s="1171">
        <f>Humboldt!$C$234</f>
        <v>89</v>
      </c>
      <c r="FY12" s="1171" t="str">
        <f>Humboldt!$C$235</f>
        <v>N/A</v>
      </c>
      <c r="FZ12" s="135"/>
      <c r="GA12" s="1147">
        <f>Humboldt!$C$239</f>
        <v>93.75</v>
      </c>
      <c r="GB12" s="1171">
        <f>Humboldt!$C$240</f>
        <v>20284</v>
      </c>
      <c r="GC12" s="1171">
        <f>Humboldt!$C$241</f>
        <v>65</v>
      </c>
      <c r="GD12" s="1168">
        <f t="shared" si="33"/>
        <v>2466</v>
      </c>
      <c r="GE12" s="1171">
        <f>Humboldt!$G$246</f>
        <v>79</v>
      </c>
      <c r="GF12" s="1171" t="str">
        <f>Humboldt!$G$247</f>
        <v>N/A</v>
      </c>
      <c r="GG12" s="1171">
        <f>Humboldt!$G$248</f>
        <v>134</v>
      </c>
      <c r="GH12" s="1171">
        <f>Humboldt!$G$249</f>
        <v>120</v>
      </c>
      <c r="GI12" s="1171">
        <f>Humboldt!$G$250</f>
        <v>48</v>
      </c>
      <c r="GJ12" s="1181">
        <f>Humboldt!$G$251</f>
        <v>2085</v>
      </c>
    </row>
    <row r="13" spans="1:193">
      <c r="A13" s="1095" t="s">
        <v>755</v>
      </c>
      <c r="B13" s="135">
        <f>Long_Beach!$C$18</f>
        <v>1</v>
      </c>
      <c r="C13" s="135">
        <f>Long_Beach!$C$19</f>
        <v>5</v>
      </c>
      <c r="D13" s="135">
        <f>Long_Beach!$C$20</f>
        <v>0</v>
      </c>
      <c r="E13" s="135">
        <f>Long_Beach!$C$21</f>
        <v>3</v>
      </c>
      <c r="F13" s="1165">
        <f>Long_Beach!$C$22</f>
        <v>4</v>
      </c>
      <c r="G13" s="1166">
        <f>Long_Beach!$C$26</f>
        <v>24.28</v>
      </c>
      <c r="H13" s="1166">
        <f>Long_Beach!$C$27</f>
        <v>15.95</v>
      </c>
      <c r="I13" s="1166">
        <f>Long_Beach!$C$28</f>
        <v>4.33</v>
      </c>
      <c r="J13" s="1166">
        <f>Long_Beach!$C$29</f>
        <v>4</v>
      </c>
      <c r="K13" s="1166">
        <f>Long_Beach!$C$30</f>
        <v>0</v>
      </c>
      <c r="L13" s="1166">
        <f>Long_Beach!$C$32</f>
        <v>24.49</v>
      </c>
      <c r="M13" s="1166">
        <f>Long_Beach!$C$33</f>
        <v>15.06</v>
      </c>
      <c r="N13" s="1166">
        <f>Long_Beach!$C$34</f>
        <v>0</v>
      </c>
      <c r="O13" s="1166">
        <f>Long_Beach!$C$35</f>
        <v>0</v>
      </c>
      <c r="P13" s="1166">
        <f>Long_Beach!$C$36</f>
        <v>0</v>
      </c>
      <c r="Q13" s="1166">
        <f>Long_Beach!$C$37</f>
        <v>50.09</v>
      </c>
      <c r="R13" s="1167">
        <f>Long_Beach!$C$38</f>
        <v>1</v>
      </c>
      <c r="S13" s="1166">
        <f>Long_Beach!$C$39</f>
        <v>113.92</v>
      </c>
      <c r="T13" s="1109">
        <f>Long_Beach!$C$44</f>
        <v>1602617</v>
      </c>
      <c r="U13" s="1109">
        <f>Long_Beach!$C$45</f>
        <v>1196631</v>
      </c>
      <c r="V13" s="1109">
        <f>Long_Beach!$C$46</f>
        <v>405986</v>
      </c>
      <c r="W13" s="1109">
        <f>Long_Beach!$C$47</f>
        <v>0</v>
      </c>
      <c r="X13" s="1109">
        <f>Long_Beach!$C$48</f>
        <v>1462127</v>
      </c>
      <c r="Y13" s="1109">
        <f>Long_Beach!$C$49</f>
        <v>882074</v>
      </c>
      <c r="Z13" s="1109">
        <f>Long_Beach!$C$50</f>
        <v>580053</v>
      </c>
      <c r="AA13" s="1109">
        <f>Long_Beach!$C$51</f>
        <v>0</v>
      </c>
      <c r="AB13" s="1109">
        <f t="shared" si="3"/>
        <v>3064744</v>
      </c>
      <c r="AC13" s="1109">
        <f>Long_Beach!$C$52</f>
        <v>359356</v>
      </c>
      <c r="AD13" s="1109">
        <f t="shared" si="4"/>
        <v>3424100</v>
      </c>
      <c r="AE13" s="1109">
        <f t="shared" si="5"/>
        <v>264677</v>
      </c>
      <c r="AF13" s="1109">
        <f>Long_Beach!$C$57</f>
        <v>229372</v>
      </c>
      <c r="AG13" s="1109">
        <f>Long_Beach!$C$58</f>
        <v>33464</v>
      </c>
      <c r="AH13" s="1109">
        <f>Long_Beach!$C$59</f>
        <v>1841</v>
      </c>
      <c r="AI13" s="1109">
        <f t="shared" si="6"/>
        <v>1828512</v>
      </c>
      <c r="AJ13" s="1109">
        <f>Long_Beach!$C$61</f>
        <v>750523</v>
      </c>
      <c r="AK13" s="1109">
        <f>Long_Beach!$C$62</f>
        <v>1075196</v>
      </c>
      <c r="AL13" s="1109">
        <f>Long_Beach!$C$63</f>
        <v>229820</v>
      </c>
      <c r="AM13" s="1109">
        <f>Long_Beach!$C$64</f>
        <v>1243</v>
      </c>
      <c r="AN13" s="1109">
        <f>Long_Beach!$C$65</f>
        <v>0</v>
      </c>
      <c r="AO13" s="1109">
        <f>Long_Beach!$C$66</f>
        <v>1550</v>
      </c>
      <c r="AP13" s="1109">
        <f t="shared" si="0"/>
        <v>55899</v>
      </c>
      <c r="AQ13" s="1109">
        <f>Long_Beach!$C$68</f>
        <v>34172</v>
      </c>
      <c r="AR13" s="1109">
        <f>Long_Beach!$C$69</f>
        <v>21727</v>
      </c>
      <c r="AS13" s="1109">
        <f t="shared" si="7"/>
        <v>0</v>
      </c>
      <c r="AT13" s="1109">
        <f>Long_Beach!$C$71</f>
        <v>0</v>
      </c>
      <c r="AU13" s="1109">
        <f>Long_Beach!$C$72</f>
        <v>0</v>
      </c>
      <c r="AV13" s="1109">
        <f>Long_Beach!$C$73</f>
        <v>0</v>
      </c>
      <c r="AW13" s="1109">
        <f>Long_Beach!$C$74</f>
        <v>0</v>
      </c>
      <c r="AX13" s="1109">
        <f>Long_Beach!$C$75</f>
        <v>0</v>
      </c>
      <c r="AY13" s="1109">
        <f t="shared" si="1"/>
        <v>2149088</v>
      </c>
      <c r="AZ13" s="1109">
        <f t="shared" si="8"/>
        <v>61908</v>
      </c>
      <c r="BA13" s="1109">
        <f>Long_Beach!$C$81</f>
        <v>24400</v>
      </c>
      <c r="BB13" s="1109">
        <f>Long_Beach!$C$82</f>
        <v>19589</v>
      </c>
      <c r="BC13" s="1109">
        <f>Long_Beach!$C$83</f>
        <v>480</v>
      </c>
      <c r="BD13" s="1109">
        <f>Long_Beach!$C$84</f>
        <v>820</v>
      </c>
      <c r="BE13" s="1109">
        <f>Long_Beach!$C$85</f>
        <v>16619</v>
      </c>
      <c r="BF13" s="1109">
        <f>Long_Beach!$C$86</f>
        <v>0</v>
      </c>
      <c r="BG13" s="1109">
        <f t="shared" si="9"/>
        <v>20251</v>
      </c>
      <c r="BH13" s="1109">
        <f>Long_Beach!$C$88</f>
        <v>0</v>
      </c>
      <c r="BI13" s="1109">
        <f>Long_Beach!$C$89</f>
        <v>20251</v>
      </c>
      <c r="BJ13" s="1109">
        <f>Long_Beach!$C$90</f>
        <v>0</v>
      </c>
      <c r="BK13" s="1109">
        <f>Long_Beach!$C$91</f>
        <v>174669</v>
      </c>
      <c r="BL13" s="1109">
        <f>Long_Beach!$C$92</f>
        <v>412728</v>
      </c>
      <c r="BM13" s="1109">
        <f>Long_Beach!$C$93</f>
        <v>169600</v>
      </c>
      <c r="BN13" s="1109">
        <f>Long_Beach!$C$94</f>
        <v>109044</v>
      </c>
      <c r="BO13" s="1109">
        <f t="shared" si="2"/>
        <v>6521388</v>
      </c>
      <c r="BP13" s="1109">
        <f>Long_Beach!$C$96</f>
        <v>0</v>
      </c>
      <c r="BQ13" s="1109">
        <f t="shared" si="10"/>
        <v>6521388</v>
      </c>
      <c r="BR13" s="1168">
        <f t="shared" si="11"/>
        <v>1096832</v>
      </c>
      <c r="BS13" s="1168">
        <f>Long_Beach!$E$104</f>
        <v>794029</v>
      </c>
      <c r="BT13" s="1168">
        <f>Long_Beach!$C$105</f>
        <v>3361</v>
      </c>
      <c r="BU13" s="1168">
        <f>Long_Beach!$C$106</f>
        <v>1025</v>
      </c>
      <c r="BV13" s="1168">
        <f>Long_Beach!$E$107</f>
        <v>253217</v>
      </c>
      <c r="BW13" s="1168">
        <f>Long_Beach!$E$108</f>
        <v>35083</v>
      </c>
      <c r="BX13" s="1168">
        <f>Long_Beach!$E$109</f>
        <v>10117</v>
      </c>
      <c r="BY13" s="1168">
        <f>Long_Beach!$E$110</f>
        <v>0</v>
      </c>
      <c r="BZ13" s="1168">
        <f t="shared" si="12"/>
        <v>270133</v>
      </c>
      <c r="CA13" s="1168">
        <f>Long_Beach!$E$112</f>
        <v>223226</v>
      </c>
      <c r="CB13" s="1168">
        <f>Long_Beach!$E$113</f>
        <v>46907</v>
      </c>
      <c r="CC13" s="1168">
        <f t="shared" si="13"/>
        <v>59695</v>
      </c>
      <c r="CD13" s="1168">
        <f t="shared" si="14"/>
        <v>48470</v>
      </c>
      <c r="CE13" s="1168">
        <f>Long_Beach!$E$117</f>
        <v>2124</v>
      </c>
      <c r="CF13" s="1168">
        <f>Long_Beach!$E$118</f>
        <v>46346</v>
      </c>
      <c r="CG13" s="1168">
        <f t="shared" si="15"/>
        <v>11225</v>
      </c>
      <c r="CH13" s="1168" t="str">
        <f>Long_Beach!$E$120</f>
        <v>unknown</v>
      </c>
      <c r="CI13" s="1168" t="str">
        <f>Long_Beach!$E$121</f>
        <v>unknown</v>
      </c>
      <c r="CJ13" s="1168">
        <f>Long_Beach!$E$122</f>
        <v>11225</v>
      </c>
      <c r="CK13" s="1168">
        <f t="shared" si="16"/>
        <v>39229</v>
      </c>
      <c r="CL13" s="1168">
        <f>Long_Beach!$E$126</f>
        <v>20375</v>
      </c>
      <c r="CM13" s="1168">
        <f>Long_Beach!$E$127</f>
        <v>18854</v>
      </c>
      <c r="CN13" s="1168">
        <f t="shared" si="17"/>
        <v>194285</v>
      </c>
      <c r="CO13" s="1168">
        <f>Long_Beach!$E$130</f>
        <v>51355</v>
      </c>
      <c r="CP13" s="1168">
        <f>Long_Beach!$E$131</f>
        <v>13884</v>
      </c>
      <c r="CQ13" s="1168">
        <f>Long_Beach!$E$132</f>
        <v>129046</v>
      </c>
      <c r="CR13" s="1168">
        <f t="shared" si="18"/>
        <v>0</v>
      </c>
      <c r="CS13" s="1168" t="str">
        <f>Long_Beach!$E$134</f>
        <v>unknown</v>
      </c>
      <c r="CT13" s="1168" t="str">
        <f>Long_Beach!$E$135</f>
        <v>unknown</v>
      </c>
      <c r="CU13" s="1168">
        <f>Long_Beach!$E$136</f>
        <v>0</v>
      </c>
      <c r="CV13" s="1168">
        <f>Long_Beach!$E$138</f>
        <v>0</v>
      </c>
      <c r="CW13" s="1168">
        <f>Long_Beach!$E$139</f>
        <v>0</v>
      </c>
      <c r="CX13" s="1168">
        <f>Long_Beach!$E$140</f>
        <v>0</v>
      </c>
      <c r="CY13" s="1168" t="str">
        <f>Long_Beach!$E$141</f>
        <v>***</v>
      </c>
      <c r="CZ13" s="1168">
        <f>Long_Beach!$E$142</f>
        <v>0</v>
      </c>
      <c r="DA13" s="1168">
        <f>Long_Beach!$E$143</f>
        <v>0</v>
      </c>
      <c r="DB13" s="1168">
        <f t="shared" si="19"/>
        <v>0</v>
      </c>
      <c r="DC13" s="1168" t="str">
        <f>Long_Beach!$C$148</f>
        <v>unknown</v>
      </c>
      <c r="DD13" s="1168" t="str">
        <f>Long_Beach!$C$149</f>
        <v>unknown</v>
      </c>
      <c r="DE13" s="1168">
        <f t="shared" si="20"/>
        <v>1253760</v>
      </c>
      <c r="DF13" s="1168">
        <f>Long_Beach!$C$151</f>
        <v>1253760</v>
      </c>
      <c r="DG13" s="1168" t="str">
        <f>Long_Beach!$C$152</f>
        <v>unknown</v>
      </c>
      <c r="DH13" s="1168">
        <f t="shared" si="21"/>
        <v>263287</v>
      </c>
      <c r="DI13" s="1168">
        <f>Long_Beach!$C$156</f>
        <v>164836</v>
      </c>
      <c r="DJ13" s="1168">
        <f>Long_Beach!$C$157</f>
        <v>76592</v>
      </c>
      <c r="DK13" s="1168">
        <f>Long_Beach!$C$158</f>
        <v>68411</v>
      </c>
      <c r="DL13" s="1168">
        <f t="shared" si="22"/>
        <v>8423</v>
      </c>
      <c r="DM13" s="1168">
        <f>Long_Beach!$C$160</f>
        <v>457</v>
      </c>
      <c r="DN13" s="1168">
        <f>Long_Beach!$C$161</f>
        <v>4368</v>
      </c>
      <c r="DO13" s="1168">
        <f>Long_Beach!$C$162</f>
        <v>3598</v>
      </c>
      <c r="DP13" s="1168">
        <f t="shared" si="23"/>
        <v>21859</v>
      </c>
      <c r="DQ13" s="1168">
        <f>Long_Beach!$C$164</f>
        <v>21859</v>
      </c>
      <c r="DR13" s="1168" t="str">
        <f>Long_Beach!$C$165</f>
        <v>unknown</v>
      </c>
      <c r="DS13" s="1168" t="str">
        <f>Long_Beach!$C$166</f>
        <v>unknown</v>
      </c>
      <c r="DT13" s="1168">
        <f t="shared" si="24"/>
        <v>37927</v>
      </c>
      <c r="DU13" s="1168">
        <f>Long_Beach!$C$169</f>
        <v>28176</v>
      </c>
      <c r="DV13" s="1168">
        <f>Long_Beach!$C$170</f>
        <v>9751</v>
      </c>
      <c r="DW13" s="1168">
        <f t="shared" si="25"/>
        <v>9990</v>
      </c>
      <c r="DX13" s="1168">
        <f>Long_Beach!$C$172</f>
        <v>5931</v>
      </c>
      <c r="DY13" s="1168">
        <f>Long_Beach!$C$173</f>
        <v>631</v>
      </c>
      <c r="DZ13" s="1168">
        <f>Long_Beach!$C$174</f>
        <v>3428</v>
      </c>
      <c r="EA13" s="1168">
        <f t="shared" si="26"/>
        <v>27937</v>
      </c>
      <c r="EB13" s="1168">
        <f>Long_Beach!$C$176</f>
        <v>3584</v>
      </c>
      <c r="EC13" s="1168">
        <f>Long_Beach!$C$177</f>
        <v>43</v>
      </c>
      <c r="ED13" s="1168">
        <f>Long_Beach!$C$178</f>
        <v>24310</v>
      </c>
      <c r="EE13" s="1168">
        <f t="shared" si="27"/>
        <v>48455</v>
      </c>
      <c r="EF13" s="1168">
        <f>Long_Beach!$C$181</f>
        <v>31491</v>
      </c>
      <c r="EG13" s="1168">
        <f>Long_Beach!$C$182</f>
        <v>16964</v>
      </c>
      <c r="EH13" s="1168">
        <f t="shared" si="28"/>
        <v>8679</v>
      </c>
      <c r="EI13" s="1168">
        <f>Long_Beach!$C$184</f>
        <v>2378</v>
      </c>
      <c r="EJ13" s="1168">
        <f>Long_Beach!$C$185</f>
        <v>579</v>
      </c>
      <c r="EK13" s="1168">
        <f>Long_Beach!$C$186</f>
        <v>5722</v>
      </c>
      <c r="EL13" s="1168">
        <f t="shared" si="29"/>
        <v>39776</v>
      </c>
      <c r="EM13" s="1168">
        <f>Long_Beach!$C$188</f>
        <v>7515</v>
      </c>
      <c r="EN13" s="1168">
        <f>Long_Beach!$C$189</f>
        <v>252</v>
      </c>
      <c r="EO13" s="1168">
        <f>Long_Beach!$C$190</f>
        <v>32009</v>
      </c>
      <c r="EP13" s="1168">
        <f t="shared" si="30"/>
        <v>663</v>
      </c>
      <c r="EQ13" s="1168">
        <f>Long_Beach!$C$195</f>
        <v>637</v>
      </c>
      <c r="ER13" s="1168">
        <f>Long_Beach!$C$196</f>
        <v>0</v>
      </c>
      <c r="ES13" s="1168">
        <f>Long_Beach!$C$197</f>
        <v>26</v>
      </c>
      <c r="ET13" s="1168">
        <f t="shared" si="31"/>
        <v>13025</v>
      </c>
      <c r="EU13" s="1168">
        <f>Long_Beach!$C$199</f>
        <v>12500</v>
      </c>
      <c r="EV13" s="1168">
        <f>Long_Beach!$C$200</f>
        <v>480</v>
      </c>
      <c r="EW13" s="1168">
        <f>Long_Beach!$C$201</f>
        <v>45</v>
      </c>
      <c r="EX13" s="1168">
        <f>Long_Beach!$C$203</f>
        <v>0</v>
      </c>
      <c r="EY13" s="1168">
        <f>Long_Beach!$C$204</f>
        <v>0</v>
      </c>
      <c r="EZ13" s="1168">
        <f>Long_Beach!$C$205</f>
        <v>5</v>
      </c>
      <c r="FA13" s="1168">
        <f>Long_Beach!$C$206</f>
        <v>107</v>
      </c>
      <c r="FB13" s="1168">
        <f>Long_Beach!$C$207</f>
        <v>1</v>
      </c>
      <c r="FC13" s="1168">
        <f t="shared" si="32"/>
        <v>360</v>
      </c>
      <c r="FD13" s="1168">
        <f>Long_Beach!$E$212</f>
        <v>0</v>
      </c>
      <c r="FE13" s="1168">
        <f>Long_Beach!$E$213</f>
        <v>330</v>
      </c>
      <c r="FF13" s="1168">
        <f>Long_Beach!$E$214</f>
        <v>0</v>
      </c>
      <c r="FG13" s="1168">
        <f>Long_Beach!$E$215</f>
        <v>0</v>
      </c>
      <c r="FH13" s="1168">
        <f>Long_Beach!$E$216</f>
        <v>3</v>
      </c>
      <c r="FI13" s="1168">
        <f>Long_Beach!$E$217</f>
        <v>0</v>
      </c>
      <c r="FJ13" s="1168">
        <f>Long_Beach!$E$218</f>
        <v>0</v>
      </c>
      <c r="FK13" s="1168">
        <f>Long_Beach!$E$219</f>
        <v>19</v>
      </c>
      <c r="FL13" s="1168">
        <f>Long_Beach!$E$220</f>
        <v>0</v>
      </c>
      <c r="FM13" s="1168">
        <f>Long_Beach!$E$221</f>
        <v>0</v>
      </c>
      <c r="FN13" s="1168">
        <f>Long_Beach!$E$222</f>
        <v>8</v>
      </c>
      <c r="FO13" s="1168">
        <f>Long_Beach!$E$223</f>
        <v>0</v>
      </c>
      <c r="FP13" s="1168">
        <f>Long_Beach!$E$224</f>
        <v>0</v>
      </c>
      <c r="FQ13" s="1168">
        <f>Long_Beach!$E$225</f>
        <v>0</v>
      </c>
      <c r="FR13" s="1168">
        <f>Long_Beach!$E$226</f>
        <v>0</v>
      </c>
      <c r="FS13" s="1168">
        <f>Long_Beach!$E$227</f>
        <v>0</v>
      </c>
      <c r="FT13" s="1168">
        <f>Long_Beach!$C$230</f>
        <v>1</v>
      </c>
      <c r="FU13" s="1168">
        <f>Long_Beach!$C$231</f>
        <v>1</v>
      </c>
      <c r="FV13" s="1168" t="str">
        <f>Long_Beach!$C$232</f>
        <v>unknown</v>
      </c>
      <c r="FW13" s="1168" t="str">
        <f>Long_Beach!$C$233</f>
        <v>unknown</v>
      </c>
      <c r="FX13" s="1168">
        <f>Long_Beach!$C$234</f>
        <v>5</v>
      </c>
      <c r="FY13" s="1168" t="str">
        <f>Long_Beach!$C$235</f>
        <v>unknown</v>
      </c>
      <c r="FZ13" s="135"/>
      <c r="GA13" s="1146">
        <f>Long_Beach!$C$239</f>
        <v>93</v>
      </c>
      <c r="GB13" s="1168">
        <f>Long_Beach!$C$240</f>
        <v>41974</v>
      </c>
      <c r="GC13" s="1168">
        <f>Long_Beach!$C$241</f>
        <v>67</v>
      </c>
      <c r="GD13" s="1168">
        <f t="shared" si="33"/>
        <v>0</v>
      </c>
      <c r="GE13" s="1168">
        <f>Long_Beach!$G$246</f>
        <v>0</v>
      </c>
      <c r="GF13" s="1168">
        <f>Long_Beach!$G$247</f>
        <v>0</v>
      </c>
      <c r="GG13" s="1168">
        <f>Long_Beach!$G$248</f>
        <v>0</v>
      </c>
      <c r="GH13" s="1168">
        <f>Long_Beach!$G$249</f>
        <v>0</v>
      </c>
      <c r="GI13" s="1168">
        <f>Long_Beach!$G$250</f>
        <v>0</v>
      </c>
      <c r="GJ13" s="1180">
        <f>Long_Beach!$G$251</f>
        <v>0</v>
      </c>
    </row>
    <row r="14" spans="1:193">
      <c r="A14" s="1095" t="s">
        <v>756</v>
      </c>
      <c r="B14" s="135">
        <f>Los_Angeles!$C$18</f>
        <v>0</v>
      </c>
      <c r="C14" s="135">
        <f>Los_Angeles!$C$19</f>
        <v>21</v>
      </c>
      <c r="D14" s="135">
        <f>Los_Angeles!$C$20</f>
        <v>39</v>
      </c>
      <c r="E14" s="135">
        <f>Los_Angeles!$C$21</f>
        <v>2</v>
      </c>
      <c r="F14" s="1165">
        <f>Los_Angeles!$C$22</f>
        <v>2</v>
      </c>
      <c r="G14" s="1166">
        <f>Los_Angeles!$C$26</f>
        <v>17.899999999999999</v>
      </c>
      <c r="H14" s="1166">
        <f>Los_Angeles!$C$27</f>
        <v>14.9</v>
      </c>
      <c r="I14" s="1166">
        <f>Los_Angeles!$C$28</f>
        <v>2</v>
      </c>
      <c r="J14" s="1166">
        <f>Los_Angeles!$C$29</f>
        <v>1</v>
      </c>
      <c r="K14" s="1166">
        <f>Los_Angeles!$C$30</f>
        <v>0</v>
      </c>
      <c r="L14" s="1166">
        <f>Los_Angeles!$C$32</f>
        <v>14.5</v>
      </c>
      <c r="M14" s="1166">
        <f>Los_Angeles!$C$33</f>
        <v>6.3</v>
      </c>
      <c r="N14" s="1166">
        <f>Los_Angeles!$C$34</f>
        <v>1</v>
      </c>
      <c r="O14" s="1166">
        <f>Los_Angeles!$C$35</f>
        <v>0</v>
      </c>
      <c r="P14" s="1166">
        <f>Los_Angeles!$C$36</f>
        <v>0</v>
      </c>
      <c r="Q14" s="1166">
        <f>Los_Angeles!$C$37</f>
        <v>24.13</v>
      </c>
      <c r="R14" s="1167">
        <f>Los_Angeles!$C$38</f>
        <v>0</v>
      </c>
      <c r="S14" s="1166">
        <f>Los_Angeles!$C$39</f>
        <v>63.83</v>
      </c>
      <c r="T14" s="1109">
        <f>Los_Angeles!$C$44</f>
        <v>1550261</v>
      </c>
      <c r="U14" s="1109">
        <f>Los_Angeles!$C$45</f>
        <v>1208744</v>
      </c>
      <c r="V14" s="1109">
        <f>Los_Angeles!$C$46</f>
        <v>341517</v>
      </c>
      <c r="W14" s="1109">
        <f>Los_Angeles!$C$47</f>
        <v>0</v>
      </c>
      <c r="X14" s="1109">
        <f>Los_Angeles!$C$48</f>
        <v>890654</v>
      </c>
      <c r="Y14" s="1109">
        <f>Los_Angeles!$C$49</f>
        <v>562349</v>
      </c>
      <c r="Z14" s="1109">
        <f>Los_Angeles!$C$50</f>
        <v>250305</v>
      </c>
      <c r="AA14" s="1109">
        <f>Los_Angeles!$C$51</f>
        <v>78000</v>
      </c>
      <c r="AB14" s="1109">
        <f t="shared" si="3"/>
        <v>2440915</v>
      </c>
      <c r="AC14" s="1109">
        <f>Los_Angeles!$C$52</f>
        <v>209195</v>
      </c>
      <c r="AD14" s="1109">
        <f t="shared" si="4"/>
        <v>2650110</v>
      </c>
      <c r="AE14" s="1109">
        <f t="shared" si="5"/>
        <v>102881.57</v>
      </c>
      <c r="AF14" s="1109">
        <f>Los_Angeles!$C$57</f>
        <v>102881.57</v>
      </c>
      <c r="AG14" s="1109">
        <f>Los_Angeles!$C$58</f>
        <v>0</v>
      </c>
      <c r="AH14" s="1109">
        <f>Los_Angeles!$C$59</f>
        <v>0</v>
      </c>
      <c r="AI14" s="1109">
        <f t="shared" si="6"/>
        <v>860081.59</v>
      </c>
      <c r="AJ14" s="1109">
        <f>Los_Angeles!$C$61</f>
        <v>110099.16</v>
      </c>
      <c r="AK14" s="1109">
        <f>Los_Angeles!$C$62</f>
        <v>749982.42999999993</v>
      </c>
      <c r="AL14" s="1109">
        <f>Los_Angeles!$C$63</f>
        <v>0</v>
      </c>
      <c r="AM14" s="1109">
        <f>Los_Angeles!$C$64</f>
        <v>0</v>
      </c>
      <c r="AN14" s="1109">
        <f>Los_Angeles!$C$65</f>
        <v>0</v>
      </c>
      <c r="AO14" s="1109">
        <f>Los_Angeles!$C$66</f>
        <v>0</v>
      </c>
      <c r="AP14" s="1109">
        <f t="shared" si="0"/>
        <v>0</v>
      </c>
      <c r="AQ14" s="1109">
        <f>Los_Angeles!$C$68</f>
        <v>0</v>
      </c>
      <c r="AR14" s="1109">
        <f>Los_Angeles!$C$69</f>
        <v>0</v>
      </c>
      <c r="AS14" s="1109">
        <f t="shared" si="7"/>
        <v>0</v>
      </c>
      <c r="AT14" s="1109">
        <f>Los_Angeles!$C$71</f>
        <v>0</v>
      </c>
      <c r="AU14" s="1109">
        <f>Los_Angeles!$C$72</f>
        <v>0</v>
      </c>
      <c r="AV14" s="1109">
        <f>Los_Angeles!$C$73</f>
        <v>0</v>
      </c>
      <c r="AW14" s="1109">
        <f>Los_Angeles!$C$74</f>
        <v>0</v>
      </c>
      <c r="AX14" s="1109">
        <f>Los_Angeles!$C$75</f>
        <v>0</v>
      </c>
      <c r="AY14" s="1109">
        <f t="shared" si="1"/>
        <v>962963.15999999992</v>
      </c>
      <c r="AZ14" s="1109">
        <f t="shared" si="8"/>
        <v>37636.509999999995</v>
      </c>
      <c r="BA14" s="1109">
        <f>Los_Angeles!$C$81</f>
        <v>0</v>
      </c>
      <c r="BB14" s="1109">
        <f>Los_Angeles!$C$82</f>
        <v>19800</v>
      </c>
      <c r="BC14" s="1109">
        <f>Los_Angeles!$C$83</f>
        <v>336.51</v>
      </c>
      <c r="BD14" s="1109">
        <f>Los_Angeles!$C$84</f>
        <v>2500</v>
      </c>
      <c r="BE14" s="1109">
        <f>Los_Angeles!$C$85</f>
        <v>15000</v>
      </c>
      <c r="BF14" s="1109">
        <f>Los_Angeles!$C$86</f>
        <v>0</v>
      </c>
      <c r="BG14" s="1109">
        <f t="shared" si="9"/>
        <v>1025</v>
      </c>
      <c r="BH14" s="1109">
        <f>Los_Angeles!$C$88</f>
        <v>1025</v>
      </c>
      <c r="BI14" s="1109">
        <f>Los_Angeles!$C$89</f>
        <v>0</v>
      </c>
      <c r="BJ14" s="1109">
        <f>Los_Angeles!$C$90</f>
        <v>0</v>
      </c>
      <c r="BK14" s="1109">
        <f>Los_Angeles!$C$91</f>
        <v>8624.9699999999993</v>
      </c>
      <c r="BL14" s="1109">
        <f>Los_Angeles!$C$92</f>
        <v>0</v>
      </c>
      <c r="BM14" s="1109">
        <f>Los_Angeles!$C$93</f>
        <v>88066</v>
      </c>
      <c r="BN14" s="1109">
        <f>Los_Angeles!$C$94</f>
        <v>0</v>
      </c>
      <c r="BO14" s="1109">
        <f t="shared" si="2"/>
        <v>3748425.64</v>
      </c>
      <c r="BP14" s="1109">
        <f>Los_Angeles!$C$96</f>
        <v>951592</v>
      </c>
      <c r="BQ14" s="1109">
        <f t="shared" si="10"/>
        <v>4700017.6400000006</v>
      </c>
      <c r="BR14" s="1168">
        <f t="shared" si="11"/>
        <v>0</v>
      </c>
      <c r="BS14" s="1168">
        <f>Los_Angeles!$E$104</f>
        <v>0</v>
      </c>
      <c r="BT14" s="1168">
        <f>Los_Angeles!$C$105</f>
        <v>0</v>
      </c>
      <c r="BU14" s="1168">
        <f>Los_Angeles!$C$106</f>
        <v>0</v>
      </c>
      <c r="BV14" s="1168">
        <f>Los_Angeles!$E$107</f>
        <v>0</v>
      </c>
      <c r="BW14" s="1168">
        <f>Los_Angeles!$E$108</f>
        <v>0</v>
      </c>
      <c r="BX14" s="1168">
        <f>Los_Angeles!$E$109</f>
        <v>0</v>
      </c>
      <c r="BY14" s="1168">
        <f>Los_Angeles!$E$110</f>
        <v>0</v>
      </c>
      <c r="BZ14" s="1168">
        <f t="shared" si="12"/>
        <v>0</v>
      </c>
      <c r="CA14" s="1168">
        <f>Los_Angeles!$E$112</f>
        <v>0</v>
      </c>
      <c r="CB14" s="1168">
        <f>Los_Angeles!$E$113</f>
        <v>0</v>
      </c>
      <c r="CC14" s="1168">
        <f t="shared" si="13"/>
        <v>0</v>
      </c>
      <c r="CD14" s="1168">
        <f t="shared" si="14"/>
        <v>0</v>
      </c>
      <c r="CE14" s="1168">
        <f>Los_Angeles!$E$117</f>
        <v>0</v>
      </c>
      <c r="CF14" s="1168">
        <f>Los_Angeles!$E$118</f>
        <v>0</v>
      </c>
      <c r="CG14" s="1168">
        <f t="shared" si="15"/>
        <v>0</v>
      </c>
      <c r="CH14" s="1168">
        <f>Los_Angeles!$E$120</f>
        <v>0</v>
      </c>
      <c r="CI14" s="1168">
        <f>Los_Angeles!$E$121</f>
        <v>0</v>
      </c>
      <c r="CJ14" s="1168">
        <f>Los_Angeles!$E$122</f>
        <v>0</v>
      </c>
      <c r="CK14" s="1168">
        <f t="shared" si="16"/>
        <v>0</v>
      </c>
      <c r="CL14" s="1168">
        <f>Los_Angeles!$E$126</f>
        <v>0</v>
      </c>
      <c r="CM14" s="1168">
        <f>Los_Angeles!$E$127</f>
        <v>0</v>
      </c>
      <c r="CN14" s="1168">
        <f t="shared" si="17"/>
        <v>0</v>
      </c>
      <c r="CO14" s="1168">
        <f>Los_Angeles!$E$130</f>
        <v>0</v>
      </c>
      <c r="CP14" s="1168">
        <f>Los_Angeles!$E$131</f>
        <v>0</v>
      </c>
      <c r="CQ14" s="1168">
        <f>Los_Angeles!$E$132</f>
        <v>0</v>
      </c>
      <c r="CR14" s="1168">
        <f t="shared" si="18"/>
        <v>0</v>
      </c>
      <c r="CS14" s="1168">
        <f>Los_Angeles!$E$134</f>
        <v>0</v>
      </c>
      <c r="CT14" s="1168">
        <f>Los_Angeles!$E$135</f>
        <v>0</v>
      </c>
      <c r="CU14" s="1168">
        <f>Los_Angeles!$E$136</f>
        <v>0</v>
      </c>
      <c r="CV14" s="1168">
        <f>Los_Angeles!$E$138</f>
        <v>0</v>
      </c>
      <c r="CW14" s="1168">
        <f>Los_Angeles!$E$139</f>
        <v>0</v>
      </c>
      <c r="CX14" s="1168">
        <f>Los_Angeles!$E$140</f>
        <v>0</v>
      </c>
      <c r="CY14" s="1168">
        <f>Los_Angeles!$E$141</f>
        <v>0</v>
      </c>
      <c r="CZ14" s="1168">
        <f>Los_Angeles!$E$142</f>
        <v>0</v>
      </c>
      <c r="DA14" s="1168">
        <f>Los_Angeles!$E$143</f>
        <v>0</v>
      </c>
      <c r="DB14" s="1168">
        <f t="shared" si="19"/>
        <v>0</v>
      </c>
      <c r="DC14" s="1168">
        <f>Los_Angeles!$C$148</f>
        <v>0</v>
      </c>
      <c r="DD14" s="1168">
        <f>Los_Angeles!$C$149</f>
        <v>0</v>
      </c>
      <c r="DE14" s="1168">
        <f t="shared" si="20"/>
        <v>0</v>
      </c>
      <c r="DF14" s="1168">
        <f>Los_Angeles!$C$151</f>
        <v>0</v>
      </c>
      <c r="DG14" s="1168">
        <f>Los_Angeles!$C$152</f>
        <v>0</v>
      </c>
      <c r="DH14" s="1168">
        <f t="shared" si="21"/>
        <v>203335</v>
      </c>
      <c r="DI14" s="1168">
        <f>Los_Angeles!$C$156</f>
        <v>88058</v>
      </c>
      <c r="DJ14" s="1168">
        <f>Los_Angeles!$C$157</f>
        <v>24099</v>
      </c>
      <c r="DK14" s="1168">
        <f>Los_Angeles!$C$158</f>
        <v>142437</v>
      </c>
      <c r="DL14" s="1168">
        <f t="shared" si="22"/>
        <v>646</v>
      </c>
      <c r="DM14" s="1168">
        <f>Los_Angeles!$C$160</f>
        <v>646</v>
      </c>
      <c r="DN14" s="1168">
        <f>Los_Angeles!$C$161</f>
        <v>0</v>
      </c>
      <c r="DO14" s="1168">
        <f>Los_Angeles!$C$162</f>
        <v>0</v>
      </c>
      <c r="DP14" s="1168">
        <f t="shared" si="23"/>
        <v>91178</v>
      </c>
      <c r="DQ14" s="1168">
        <f>Los_Angeles!$C$164</f>
        <v>0</v>
      </c>
      <c r="DR14" s="1168">
        <f>Los_Angeles!$C$165</f>
        <v>71658</v>
      </c>
      <c r="DS14" s="1168">
        <f>Los_Angeles!$C$166</f>
        <v>19520</v>
      </c>
      <c r="DT14" s="1168">
        <f t="shared" si="24"/>
        <v>7425</v>
      </c>
      <c r="DU14" s="1168">
        <f>Los_Angeles!$C$169</f>
        <v>3409</v>
      </c>
      <c r="DV14" s="1168">
        <f>Los_Angeles!$C$170</f>
        <v>4016</v>
      </c>
      <c r="DW14" s="1168">
        <f t="shared" si="25"/>
        <v>7425</v>
      </c>
      <c r="DX14" s="1168">
        <f>Los_Angeles!$C$172</f>
        <v>4120</v>
      </c>
      <c r="DY14" s="1168">
        <f>Los_Angeles!$C$173</f>
        <v>815</v>
      </c>
      <c r="DZ14" s="1168">
        <f>Los_Angeles!$C$174</f>
        <v>2490</v>
      </c>
      <c r="EA14" s="1168">
        <f t="shared" si="26"/>
        <v>0</v>
      </c>
      <c r="EB14" s="1168">
        <f>Los_Angeles!$C$176</f>
        <v>0</v>
      </c>
      <c r="EC14" s="1168">
        <f>Los_Angeles!$C$177</f>
        <v>0</v>
      </c>
      <c r="ED14" s="1168">
        <f>Los_Angeles!$C$178</f>
        <v>0</v>
      </c>
      <c r="EE14" s="1168">
        <f t="shared" si="27"/>
        <v>8892</v>
      </c>
      <c r="EF14" s="1168">
        <f>Los_Angeles!$C$181</f>
        <v>4446</v>
      </c>
      <c r="EG14" s="1168">
        <f>Los_Angeles!$C$182</f>
        <v>4446</v>
      </c>
      <c r="EH14" s="1168">
        <f t="shared" si="28"/>
        <v>8892</v>
      </c>
      <c r="EI14" s="1168">
        <f>Los_Angeles!$C$184</f>
        <v>4967</v>
      </c>
      <c r="EJ14" s="1168">
        <f>Los_Angeles!$C$185</f>
        <v>805</v>
      </c>
      <c r="EK14" s="1168">
        <f>Los_Angeles!$C$186</f>
        <v>3120</v>
      </c>
      <c r="EL14" s="1168">
        <f t="shared" si="29"/>
        <v>0</v>
      </c>
      <c r="EM14" s="1168">
        <f>Los_Angeles!$C$188</f>
        <v>0</v>
      </c>
      <c r="EN14" s="1168">
        <f>Los_Angeles!$C$189</f>
        <v>0</v>
      </c>
      <c r="EO14" s="1168">
        <f>Los_Angeles!$C$190</f>
        <v>0</v>
      </c>
      <c r="EP14" s="1168">
        <f t="shared" si="30"/>
        <v>683</v>
      </c>
      <c r="EQ14" s="1168">
        <f>Los_Angeles!$C$195</f>
        <v>679</v>
      </c>
      <c r="ER14" s="1168">
        <f>Los_Angeles!$C$196</f>
        <v>4</v>
      </c>
      <c r="ES14" s="1168">
        <f>Los_Angeles!$C$197</f>
        <v>0</v>
      </c>
      <c r="ET14" s="1168">
        <f t="shared" si="31"/>
        <v>19025</v>
      </c>
      <c r="EU14" s="1168">
        <f>Los_Angeles!$C$199</f>
        <v>18964</v>
      </c>
      <c r="EV14" s="1168">
        <f>Los_Angeles!$C$200</f>
        <v>61</v>
      </c>
      <c r="EW14" s="1168">
        <f>Los_Angeles!$C$201</f>
        <v>0</v>
      </c>
      <c r="EX14" s="1168">
        <f>Los_Angeles!$C$203</f>
        <v>44</v>
      </c>
      <c r="EY14" s="1168">
        <f>Los_Angeles!$C$204</f>
        <v>41</v>
      </c>
      <c r="EZ14" s="1168">
        <f>Los_Angeles!$C$205</f>
        <v>2</v>
      </c>
      <c r="FA14" s="1168">
        <f>Los_Angeles!$C$206</f>
        <v>85</v>
      </c>
      <c r="FB14" s="1168">
        <f>Los_Angeles!$C$207</f>
        <v>0</v>
      </c>
      <c r="FC14" s="1168">
        <f t="shared" si="32"/>
        <v>0</v>
      </c>
      <c r="FD14" s="1168">
        <f>Los_Angeles!$E$212</f>
        <v>0</v>
      </c>
      <c r="FE14" s="1168">
        <f>Los_Angeles!$E$213</f>
        <v>0</v>
      </c>
      <c r="FF14" s="1168">
        <f>Los_Angeles!$E$214</f>
        <v>0</v>
      </c>
      <c r="FG14" s="1168">
        <f>Los_Angeles!$E$215</f>
        <v>0</v>
      </c>
      <c r="FH14" s="1168">
        <f>Los_Angeles!$E$216</f>
        <v>0</v>
      </c>
      <c r="FI14" s="1168">
        <f>Los_Angeles!$E$217</f>
        <v>0</v>
      </c>
      <c r="FJ14" s="1168">
        <f>Los_Angeles!$E$218</f>
        <v>0</v>
      </c>
      <c r="FK14" s="1168">
        <f>Los_Angeles!$E$219</f>
        <v>0</v>
      </c>
      <c r="FL14" s="1168">
        <f>Los_Angeles!$E$220</f>
        <v>0</v>
      </c>
      <c r="FM14" s="1168">
        <f>Los_Angeles!$E$221</f>
        <v>0</v>
      </c>
      <c r="FN14" s="1168">
        <f>Los_Angeles!$E$222</f>
        <v>0</v>
      </c>
      <c r="FO14" s="1168">
        <f>Los_Angeles!$E$223</f>
        <v>0</v>
      </c>
      <c r="FP14" s="1168">
        <f>Los_Angeles!$E$224</f>
        <v>0</v>
      </c>
      <c r="FQ14" s="1168">
        <f>Los_Angeles!$E$225</f>
        <v>0</v>
      </c>
      <c r="FR14" s="1168">
        <f>Los_Angeles!$E$226</f>
        <v>0</v>
      </c>
      <c r="FS14" s="1168">
        <f>Los_Angeles!$E$227</f>
        <v>0</v>
      </c>
      <c r="FT14" s="1168">
        <f>Los_Angeles!$C$230</f>
        <v>23</v>
      </c>
      <c r="FU14" s="1168">
        <f>Los_Angeles!$C$231</f>
        <v>0</v>
      </c>
      <c r="FV14" s="1168">
        <f>Los_Angeles!$C$232</f>
        <v>2</v>
      </c>
      <c r="FW14" s="1168">
        <f>Los_Angeles!$C$233</f>
        <v>0</v>
      </c>
      <c r="FX14" s="1168">
        <f>Los_Angeles!$C$234</f>
        <v>2</v>
      </c>
      <c r="FY14" s="1168">
        <f>Los_Angeles!$C$235</f>
        <v>0</v>
      </c>
      <c r="FZ14" s="135"/>
      <c r="GA14" s="1146">
        <f>Los_Angeles!$C$239</f>
        <v>75</v>
      </c>
      <c r="GB14" s="1168">
        <f>Los_Angeles!$C$240</f>
        <v>37875</v>
      </c>
      <c r="GC14" s="1168">
        <f>Los_Angeles!$C$241</f>
        <v>71</v>
      </c>
      <c r="GD14" s="1168">
        <f t="shared" si="33"/>
        <v>1314</v>
      </c>
      <c r="GE14" s="1168">
        <f>Los_Angeles!$G$246</f>
        <v>1206</v>
      </c>
      <c r="GF14" s="1168">
        <f>Los_Angeles!$G$247</f>
        <v>0</v>
      </c>
      <c r="GG14" s="1168">
        <f>Los_Angeles!$G$248</f>
        <v>37</v>
      </c>
      <c r="GH14" s="1168">
        <f>Los_Angeles!$G$249</f>
        <v>46</v>
      </c>
      <c r="GI14" s="1168">
        <f>Los_Angeles!$G$250</f>
        <v>25</v>
      </c>
      <c r="GJ14" s="1180">
        <f>Los_Angeles!$G$251</f>
        <v>0</v>
      </c>
    </row>
    <row r="15" spans="1:193">
      <c r="A15" s="771" t="s">
        <v>436</v>
      </c>
      <c r="B15" s="135">
        <f>Maritime_Academy!$C$18</f>
        <v>1</v>
      </c>
      <c r="C15" s="135">
        <f>Maritime_Academy!$C$19</f>
        <v>0</v>
      </c>
      <c r="D15" s="135">
        <f>Maritime_Academy!$C$20</f>
        <v>1</v>
      </c>
      <c r="E15" s="135">
        <f>Maritime_Academy!$C$21</f>
        <v>1</v>
      </c>
      <c r="F15" s="1165">
        <f>Maritime_Academy!$C$22</f>
        <v>1</v>
      </c>
      <c r="G15" s="1166">
        <f>Maritime_Academy!$C$26</f>
        <v>4</v>
      </c>
      <c r="H15" s="1166">
        <f>Maritime_Academy!$C$27</f>
        <v>3</v>
      </c>
      <c r="I15" s="1166">
        <f>Maritime_Academy!$C$28</f>
        <v>1</v>
      </c>
      <c r="J15" s="1166">
        <f>Maritime_Academy!$C$29</f>
        <v>0</v>
      </c>
      <c r="K15" s="1166">
        <f>Maritime_Academy!$C$30</f>
        <v>0</v>
      </c>
      <c r="L15" s="1166">
        <f>Maritime_Academy!$C$32</f>
        <v>1.5</v>
      </c>
      <c r="M15" s="1166">
        <f>Maritime_Academy!$C$33</f>
        <v>0</v>
      </c>
      <c r="N15" s="1166">
        <f>Maritime_Academy!$C$34</f>
        <v>0</v>
      </c>
      <c r="O15" s="1166">
        <f>Maritime_Academy!$C$35</f>
        <v>0</v>
      </c>
      <c r="P15" s="1166">
        <f>Maritime_Academy!$C$36</f>
        <v>0</v>
      </c>
      <c r="Q15" s="1166">
        <f>Maritime_Academy!$C$37</f>
        <v>2</v>
      </c>
      <c r="R15" s="1167">
        <f>Maritime_Academy!$C$38</f>
        <v>0</v>
      </c>
      <c r="S15" s="1166">
        <f>Maritime_Academy!$C$39</f>
        <v>7.5</v>
      </c>
      <c r="T15" s="1109">
        <f>Maritime_Academy!$C$44</f>
        <v>259591</v>
      </c>
      <c r="U15" s="1109">
        <f>Maritime_Academy!$C$45</f>
        <v>172692</v>
      </c>
      <c r="V15" s="1109">
        <f>Maritime_Academy!$C$46</f>
        <v>86899</v>
      </c>
      <c r="W15" s="1109">
        <f>Maritime_Academy!$C$47</f>
        <v>0</v>
      </c>
      <c r="X15" s="1109">
        <f>Maritime_Academy!$C$48</f>
        <v>50496</v>
      </c>
      <c r="Y15" s="1109">
        <f>Maritime_Academy!$C$49</f>
        <v>50496</v>
      </c>
      <c r="Z15" s="1109">
        <f>Maritime_Academy!$C$50</f>
        <v>0</v>
      </c>
      <c r="AA15" s="1109">
        <f>Maritime_Academy!$C$51</f>
        <v>0</v>
      </c>
      <c r="AB15" s="1109">
        <f t="shared" si="3"/>
        <v>310087</v>
      </c>
      <c r="AC15" s="1109">
        <f>Maritime_Academy!$C$52</f>
        <v>21754</v>
      </c>
      <c r="AD15" s="1109">
        <f t="shared" si="4"/>
        <v>331841</v>
      </c>
      <c r="AE15" s="1109">
        <f t="shared" si="5"/>
        <v>37893</v>
      </c>
      <c r="AF15" s="1109">
        <f>Maritime_Academy!$C$57</f>
        <v>37893</v>
      </c>
      <c r="AG15" s="1109">
        <f>Maritime_Academy!$C$58</f>
        <v>0</v>
      </c>
      <c r="AH15" s="1109">
        <f>Maritime_Academy!$C$59</f>
        <v>0</v>
      </c>
      <c r="AI15" s="1109">
        <f t="shared" si="6"/>
        <v>70367</v>
      </c>
      <c r="AJ15" s="1109">
        <f>Maritime_Academy!$C$61</f>
        <v>49694</v>
      </c>
      <c r="AK15" s="1109">
        <f>Maritime_Academy!$C$62</f>
        <v>20673</v>
      </c>
      <c r="AL15" s="1109">
        <f>Maritime_Academy!$C$63</f>
        <v>0</v>
      </c>
      <c r="AM15" s="1109">
        <f>Maritime_Academy!$C$64</f>
        <v>0</v>
      </c>
      <c r="AN15" s="1109">
        <f>Maritime_Academy!$C$65</f>
        <v>0</v>
      </c>
      <c r="AO15" s="1109">
        <f>Maritime_Academy!$C$66</f>
        <v>0</v>
      </c>
      <c r="AP15" s="1109">
        <f t="shared" si="0"/>
        <v>1859</v>
      </c>
      <c r="AQ15" s="1109">
        <f>Maritime_Academy!$C$68</f>
        <v>0</v>
      </c>
      <c r="AR15" s="1109">
        <f>Maritime_Academy!$C$69</f>
        <v>1859</v>
      </c>
      <c r="AS15" s="1109">
        <f t="shared" si="7"/>
        <v>200</v>
      </c>
      <c r="AT15" s="1109">
        <f>Maritime_Academy!$C$71</f>
        <v>200</v>
      </c>
      <c r="AU15" s="1109">
        <f>Maritime_Academy!$C$72</f>
        <v>0</v>
      </c>
      <c r="AV15" s="1109">
        <f>Maritime_Academy!$C$73</f>
        <v>0</v>
      </c>
      <c r="AW15" s="1109">
        <f>Maritime_Academy!$C$74</f>
        <v>0</v>
      </c>
      <c r="AX15" s="1109">
        <f>Maritime_Academy!$C$75</f>
        <v>0</v>
      </c>
      <c r="AY15" s="1109">
        <f t="shared" si="1"/>
        <v>110319</v>
      </c>
      <c r="AZ15" s="1109">
        <f t="shared" si="8"/>
        <v>0</v>
      </c>
      <c r="BA15" s="1109">
        <f>Maritime_Academy!$C$81</f>
        <v>0</v>
      </c>
      <c r="BB15" s="1109">
        <f>Maritime_Academy!$C$82</f>
        <v>0</v>
      </c>
      <c r="BC15" s="1109">
        <f>Maritime_Academy!$C$83</f>
        <v>0</v>
      </c>
      <c r="BD15" s="1109">
        <f>Maritime_Academy!$C$84</f>
        <v>0</v>
      </c>
      <c r="BE15" s="1109">
        <f>Maritime_Academy!$C$85</f>
        <v>0</v>
      </c>
      <c r="BF15" s="1109">
        <f>Maritime_Academy!$C$86</f>
        <v>0</v>
      </c>
      <c r="BG15" s="1109">
        <f t="shared" si="9"/>
        <v>1781</v>
      </c>
      <c r="BH15" s="1109">
        <f>Maritime_Academy!$C$88</f>
        <v>0</v>
      </c>
      <c r="BI15" s="1109">
        <f>Maritime_Academy!$C$89</f>
        <v>1781</v>
      </c>
      <c r="BJ15" s="1109">
        <f>Maritime_Academy!$C$90</f>
        <v>0</v>
      </c>
      <c r="BK15" s="1109">
        <f>Maritime_Academy!$C$91</f>
        <v>0</v>
      </c>
      <c r="BL15" s="1109">
        <f>Maritime_Academy!$C$92</f>
        <v>2215</v>
      </c>
      <c r="BM15" s="1109">
        <f>Maritime_Academy!$C$93</f>
        <v>1700</v>
      </c>
      <c r="BN15" s="1109">
        <f>Maritime_Academy!$C$94</f>
        <v>5740</v>
      </c>
      <c r="BO15" s="1109">
        <f t="shared" si="2"/>
        <v>453596</v>
      </c>
      <c r="BP15" s="1109">
        <f>Maritime_Academy!$C$96</f>
        <v>0</v>
      </c>
      <c r="BQ15" s="1109">
        <f t="shared" si="10"/>
        <v>453596</v>
      </c>
      <c r="BR15" s="1168">
        <f t="shared" si="11"/>
        <v>42874</v>
      </c>
      <c r="BS15" s="1168">
        <f>Maritime_Academy!$E$104</f>
        <v>40508</v>
      </c>
      <c r="BT15" s="1168">
        <f>Maritime_Academy!$C$105</f>
        <v>1263</v>
      </c>
      <c r="BU15" s="1168">
        <f>Maritime_Academy!$C$106</f>
        <v>476</v>
      </c>
      <c r="BV15" s="1168">
        <f>Maritime_Academy!$E$107</f>
        <v>552</v>
      </c>
      <c r="BW15" s="1168">
        <f>Maritime_Academy!$E$108</f>
        <v>0</v>
      </c>
      <c r="BX15" s="1168">
        <f>Maritime_Academy!$E$109</f>
        <v>75</v>
      </c>
      <c r="BY15" s="1168">
        <f>Maritime_Academy!$E$110</f>
        <v>0</v>
      </c>
      <c r="BZ15" s="1168">
        <f t="shared" si="12"/>
        <v>7004</v>
      </c>
      <c r="CA15" s="1168">
        <f>Maritime_Academy!$E$112</f>
        <v>7004</v>
      </c>
      <c r="CB15" s="1168">
        <f>Maritime_Academy!$E$113</f>
        <v>0</v>
      </c>
      <c r="CC15" s="1168">
        <f t="shared" si="13"/>
        <v>67144</v>
      </c>
      <c r="CD15" s="1168">
        <f t="shared" si="14"/>
        <v>67121</v>
      </c>
      <c r="CE15" s="1168">
        <f>Maritime_Academy!$E$117</f>
        <v>367</v>
      </c>
      <c r="CF15" s="1168">
        <f>Maritime_Academy!$E$118</f>
        <v>66754</v>
      </c>
      <c r="CG15" s="1168">
        <f t="shared" si="15"/>
        <v>23</v>
      </c>
      <c r="CH15" s="1168">
        <f>Maritime_Academy!$E$120</f>
        <v>23</v>
      </c>
      <c r="CI15" s="1168">
        <f>Maritime_Academy!$E$121</f>
        <v>0</v>
      </c>
      <c r="CJ15" s="1168">
        <f>Maritime_Academy!$E$122</f>
        <v>0</v>
      </c>
      <c r="CK15" s="1168">
        <f t="shared" si="16"/>
        <v>1104</v>
      </c>
      <c r="CL15" s="1168">
        <f>Maritime_Academy!$E$126</f>
        <v>6</v>
      </c>
      <c r="CM15" s="1168">
        <f>Maritime_Academy!$E$127</f>
        <v>1098</v>
      </c>
      <c r="CN15" s="1168">
        <f t="shared" si="17"/>
        <v>102573</v>
      </c>
      <c r="CO15" s="1168">
        <f>Maritime_Academy!$E$130</f>
        <v>151</v>
      </c>
      <c r="CP15" s="1168">
        <f>Maritime_Academy!$E$131</f>
        <v>29</v>
      </c>
      <c r="CQ15" s="1168">
        <f>Maritime_Academy!$E$132</f>
        <v>566</v>
      </c>
      <c r="CR15" s="1168">
        <f t="shared" si="18"/>
        <v>20862</v>
      </c>
      <c r="CS15" s="1168">
        <f>Maritime_Academy!$E$134</f>
        <v>20862</v>
      </c>
      <c r="CT15" s="1168">
        <f>Maritime_Academy!$E$135</f>
        <v>0</v>
      </c>
      <c r="CU15" s="1168">
        <f>Maritime_Academy!$E$136</f>
        <v>0</v>
      </c>
      <c r="CV15" s="1168">
        <f>Maritime_Academy!$E$138</f>
        <v>3</v>
      </c>
      <c r="CW15" s="1168">
        <f>Maritime_Academy!$E$139</f>
        <v>60000</v>
      </c>
      <c r="CX15" s="1168">
        <f>Maritime_Academy!$E$140</f>
        <v>100</v>
      </c>
      <c r="CY15" s="1168" t="str">
        <f>Maritime_Academy!$E$141</f>
        <v>***</v>
      </c>
      <c r="CZ15" s="1168">
        <f>Maritime_Academy!$E$142</f>
        <v>0</v>
      </c>
      <c r="DA15" s="1168">
        <f>Maritime_Academy!$E$143</f>
        <v>0</v>
      </c>
      <c r="DB15" s="1168">
        <f t="shared" si="19"/>
        <v>65136</v>
      </c>
      <c r="DC15" s="1168">
        <f>Maritime_Academy!$C$148</f>
        <v>63268</v>
      </c>
      <c r="DD15" s="1168">
        <f>Maritime_Academy!$C$149</f>
        <v>1868</v>
      </c>
      <c r="DE15" s="1168">
        <f t="shared" si="20"/>
        <v>13306</v>
      </c>
      <c r="DF15" s="1168">
        <f>Maritime_Academy!$C$151</f>
        <v>761</v>
      </c>
      <c r="DG15" s="1168">
        <f>Maritime_Academy!$C$152</f>
        <v>12545</v>
      </c>
      <c r="DH15" s="1168">
        <f t="shared" si="21"/>
        <v>8018</v>
      </c>
      <c r="DI15" s="1168">
        <f>Maritime_Academy!$C$156</f>
        <v>3878</v>
      </c>
      <c r="DJ15" s="1168">
        <f>Maritime_Academy!$C$157</f>
        <v>193</v>
      </c>
      <c r="DK15" s="1168">
        <f>Maritime_Academy!$C$158</f>
        <v>1467</v>
      </c>
      <c r="DL15" s="1168">
        <f t="shared" si="22"/>
        <v>32</v>
      </c>
      <c r="DM15" s="1168">
        <f>Maritime_Academy!$C$160</f>
        <v>0</v>
      </c>
      <c r="DN15" s="1168">
        <f>Maritime_Academy!$C$161</f>
        <v>32</v>
      </c>
      <c r="DO15" s="1168">
        <f>Maritime_Academy!$C$162</f>
        <v>0</v>
      </c>
      <c r="DP15" s="1168">
        <f t="shared" si="23"/>
        <v>3947</v>
      </c>
      <c r="DQ15" s="1168">
        <f>Maritime_Academy!$C$164</f>
        <v>3947</v>
      </c>
      <c r="DR15" s="1168">
        <f>Maritime_Academy!$C$165</f>
        <v>0</v>
      </c>
      <c r="DS15" s="1168">
        <f>Maritime_Academy!$C$166</f>
        <v>0</v>
      </c>
      <c r="DT15" s="1168">
        <f t="shared" si="24"/>
        <v>187</v>
      </c>
      <c r="DU15" s="1168">
        <f>Maritime_Academy!$C$169</f>
        <v>177</v>
      </c>
      <c r="DV15" s="1168">
        <f>Maritime_Academy!$C$170</f>
        <v>10</v>
      </c>
      <c r="DW15" s="1168">
        <f t="shared" si="25"/>
        <v>187</v>
      </c>
      <c r="DX15" s="1168">
        <f>Maritime_Academy!$C$172</f>
        <v>83</v>
      </c>
      <c r="DY15" s="1168">
        <f>Maritime_Academy!$C$173</f>
        <v>29</v>
      </c>
      <c r="DZ15" s="1168">
        <f>Maritime_Academy!$C$174</f>
        <v>75</v>
      </c>
      <c r="EA15" s="1168">
        <f t="shared" si="26"/>
        <v>0</v>
      </c>
      <c r="EB15" s="1168">
        <f>Maritime_Academy!$C$176</f>
        <v>0</v>
      </c>
      <c r="EC15" s="1168">
        <f>Maritime_Academy!$C$177</f>
        <v>0</v>
      </c>
      <c r="ED15" s="1168">
        <f>Maritime_Academy!$C$178</f>
        <v>0</v>
      </c>
      <c r="EE15" s="1168">
        <f t="shared" si="27"/>
        <v>535</v>
      </c>
      <c r="EF15" s="1168">
        <f>Maritime_Academy!$C$181</f>
        <v>515</v>
      </c>
      <c r="EG15" s="1168">
        <f>Maritime_Academy!$C$182</f>
        <v>20</v>
      </c>
      <c r="EH15" s="1168">
        <f t="shared" si="28"/>
        <v>535</v>
      </c>
      <c r="EI15" s="1168">
        <f>Maritime_Academy!$C$184</f>
        <v>312</v>
      </c>
      <c r="EJ15" s="1168">
        <f>Maritime_Academy!$C$185</f>
        <v>35</v>
      </c>
      <c r="EK15" s="1168">
        <f>Maritime_Academy!$C$186</f>
        <v>188</v>
      </c>
      <c r="EL15" s="1168">
        <f t="shared" si="29"/>
        <v>0</v>
      </c>
      <c r="EM15" s="1168">
        <f>Maritime_Academy!$C$188</f>
        <v>0</v>
      </c>
      <c r="EN15" s="1168">
        <f>Maritime_Academy!$C$189</f>
        <v>0</v>
      </c>
      <c r="EO15" s="1168">
        <f>Maritime_Academy!$C$190</f>
        <v>0</v>
      </c>
      <c r="EP15" s="1168">
        <f t="shared" si="30"/>
        <v>62</v>
      </c>
      <c r="EQ15" s="1168">
        <f>Maritime_Academy!$C$195</f>
        <v>44</v>
      </c>
      <c r="ER15" s="1168">
        <f>Maritime_Academy!$C$196</f>
        <v>17</v>
      </c>
      <c r="ES15" s="1168">
        <f>Maritime_Academy!$C$197</f>
        <v>1</v>
      </c>
      <c r="ET15" s="1168">
        <f t="shared" si="31"/>
        <v>1009</v>
      </c>
      <c r="EU15" s="1168">
        <f>Maritime_Academy!$C$199</f>
        <v>1009</v>
      </c>
      <c r="EV15" s="1168">
        <f>Maritime_Academy!$C$200</f>
        <v>0</v>
      </c>
      <c r="EW15" s="1168">
        <f>Maritime_Academy!$C$201</f>
        <v>0</v>
      </c>
      <c r="EX15" s="1168">
        <f>Maritime_Academy!$C$203</f>
        <v>112</v>
      </c>
      <c r="EY15" s="1168">
        <f>Maritime_Academy!$C$204</f>
        <v>84</v>
      </c>
      <c r="EZ15" s="1168">
        <f>Maritime_Academy!$C$205</f>
        <v>0</v>
      </c>
      <c r="FA15" s="1168">
        <f>Maritime_Academy!$C$206</f>
        <v>0</v>
      </c>
      <c r="FB15" s="1168">
        <f>Maritime_Academy!$C$207</f>
        <v>0</v>
      </c>
      <c r="FC15" s="1168">
        <f t="shared" si="32"/>
        <v>48</v>
      </c>
      <c r="FD15" s="1168">
        <f>Maritime_Academy!$E$212</f>
        <v>24</v>
      </c>
      <c r="FE15" s="1168">
        <f>Maritime_Academy!$E$213</f>
        <v>13</v>
      </c>
      <c r="FF15" s="1168">
        <f>Maritime_Academy!$E$214</f>
        <v>4</v>
      </c>
      <c r="FG15" s="1168">
        <f>Maritime_Academy!$E$215</f>
        <v>0</v>
      </c>
      <c r="FH15" s="1168">
        <f>Maritime_Academy!$E$216</f>
        <v>0</v>
      </c>
      <c r="FI15" s="1168">
        <f>Maritime_Academy!$E$217</f>
        <v>0</v>
      </c>
      <c r="FJ15" s="1168">
        <f>Maritime_Academy!$E$218</f>
        <v>3</v>
      </c>
      <c r="FK15" s="1168">
        <f>Maritime_Academy!$E$219</f>
        <v>0</v>
      </c>
      <c r="FL15" s="1168">
        <f>Maritime_Academy!$E$220</f>
        <v>3</v>
      </c>
      <c r="FM15" s="1168">
        <f>Maritime_Academy!$E$221</f>
        <v>0</v>
      </c>
      <c r="FN15" s="1168">
        <f>Maritime_Academy!$E$222</f>
        <v>1</v>
      </c>
      <c r="FO15" s="1168">
        <f>Maritime_Academy!$E$223</f>
        <v>0</v>
      </c>
      <c r="FP15" s="1168">
        <f>Maritime_Academy!$E$224</f>
        <v>0</v>
      </c>
      <c r="FQ15" s="1168">
        <f>Maritime_Academy!$E$225</f>
        <v>0</v>
      </c>
      <c r="FR15" s="1168">
        <f>Maritime_Academy!$E$226</f>
        <v>0</v>
      </c>
      <c r="FS15" s="1168">
        <f>Maritime_Academy!$E$227</f>
        <v>0</v>
      </c>
      <c r="FT15" s="1168">
        <f>Maritime_Academy!$C$230</f>
        <v>300</v>
      </c>
      <c r="FU15" s="1168">
        <f>Maritime_Academy!$C$231</f>
        <v>0</v>
      </c>
      <c r="FV15" s="1168">
        <f>Maritime_Academy!$C$232</f>
        <v>0</v>
      </c>
      <c r="FW15" s="1168">
        <f>Maritime_Academy!$C$233</f>
        <v>0</v>
      </c>
      <c r="FX15" s="1168">
        <f>Maritime_Academy!$C$234</f>
        <v>0</v>
      </c>
      <c r="FY15" s="1168">
        <f>Maritime_Academy!$C$235</f>
        <v>0</v>
      </c>
      <c r="FZ15" s="135"/>
      <c r="GA15" s="1146">
        <f>Maritime_Academy!$C$239</f>
        <v>79</v>
      </c>
      <c r="GB15" s="1168">
        <f>Maritime_Academy!$C$240</f>
        <v>3600</v>
      </c>
      <c r="GC15" s="1168">
        <f>Maritime_Academy!$C$241</f>
        <v>65</v>
      </c>
      <c r="GD15" s="1168">
        <f t="shared" si="33"/>
        <v>2768</v>
      </c>
      <c r="GE15" s="1168">
        <f>Maritime_Academy!$G$246</f>
        <v>2768</v>
      </c>
      <c r="GF15" s="1168">
        <f>Maritime_Academy!$G$247</f>
        <v>0</v>
      </c>
      <c r="GG15" s="1168">
        <f>Maritime_Academy!$G$248</f>
        <v>0</v>
      </c>
      <c r="GH15" s="1168">
        <f>Maritime_Academy!$G$249</f>
        <v>0</v>
      </c>
      <c r="GI15" s="1168">
        <f>Maritime_Academy!$G$250</f>
        <v>0</v>
      </c>
      <c r="GJ15" s="1180">
        <f>Maritime_Academy!$G$251</f>
        <v>0</v>
      </c>
    </row>
    <row r="16" spans="1:193">
      <c r="A16" s="1095" t="s">
        <v>598</v>
      </c>
      <c r="B16" s="135">
        <f>Monterey_Bay!$C$18</f>
        <v>0</v>
      </c>
      <c r="C16" s="135">
        <f>Monterey_Bay!$C$19</f>
        <v>5</v>
      </c>
      <c r="D16" s="135">
        <f>Monterey_Bay!$C$20</f>
        <v>12</v>
      </c>
      <c r="E16" s="135">
        <f>Monterey_Bay!$C$21</f>
        <v>5</v>
      </c>
      <c r="F16" s="1165">
        <f>Monterey_Bay!$C$22</f>
        <v>7</v>
      </c>
      <c r="G16" s="1166">
        <f>Monterey_Bay!$C$26</f>
        <v>7.84</v>
      </c>
      <c r="H16" s="1166">
        <f>Monterey_Bay!$C$27</f>
        <v>6.84</v>
      </c>
      <c r="I16" s="1166">
        <f>Monterey_Bay!$C$28</f>
        <v>1</v>
      </c>
      <c r="J16" s="1166">
        <f>Monterey_Bay!$C$29</f>
        <v>0</v>
      </c>
      <c r="K16" s="1166">
        <f>Monterey_Bay!$C$30</f>
        <v>0</v>
      </c>
      <c r="L16" s="1166">
        <f>Monterey_Bay!$C$32</f>
        <v>5</v>
      </c>
      <c r="M16" s="1166">
        <f>Monterey_Bay!$C$33</f>
        <v>1</v>
      </c>
      <c r="N16" s="1166">
        <f>Monterey_Bay!$C$34</f>
        <v>1</v>
      </c>
      <c r="O16" s="1166">
        <f>Monterey_Bay!$C$35</f>
        <v>0</v>
      </c>
      <c r="P16" s="1166">
        <f>Monterey_Bay!$C$36</f>
        <v>0</v>
      </c>
      <c r="Q16" s="1166">
        <f>Monterey_Bay!$C$37</f>
        <v>1.77</v>
      </c>
      <c r="R16" s="1167">
        <f>Monterey_Bay!$C$38</f>
        <v>0.11700000000000001</v>
      </c>
      <c r="S16" s="1166">
        <f>Monterey_Bay!$C$39</f>
        <v>16.61</v>
      </c>
      <c r="T16" s="1109">
        <f>Monterey_Bay!$C$44</f>
        <v>628812</v>
      </c>
      <c r="U16" s="1109">
        <f>Monterey_Bay!$C$45</f>
        <v>511546</v>
      </c>
      <c r="V16" s="1109">
        <f>Monterey_Bay!$C$46</f>
        <v>117266</v>
      </c>
      <c r="W16" s="1109">
        <f>Monterey_Bay!$C$47</f>
        <v>0</v>
      </c>
      <c r="X16" s="1109">
        <f>Monterey_Bay!$C$48</f>
        <v>297963</v>
      </c>
      <c r="Y16" s="1109">
        <f>Monterey_Bay!$C$49</f>
        <v>205737</v>
      </c>
      <c r="Z16" s="1109">
        <f>Monterey_Bay!$C$50</f>
        <v>43330</v>
      </c>
      <c r="AA16" s="1109">
        <f>Monterey_Bay!$C$51</f>
        <v>48896</v>
      </c>
      <c r="AB16" s="1109">
        <f t="shared" si="3"/>
        <v>926775</v>
      </c>
      <c r="AC16" s="1109">
        <f>Monterey_Bay!$C$52</f>
        <v>24380</v>
      </c>
      <c r="AD16" s="1109">
        <f t="shared" si="4"/>
        <v>951155</v>
      </c>
      <c r="AE16" s="1109">
        <f t="shared" si="5"/>
        <v>81278</v>
      </c>
      <c r="AF16" s="1109">
        <f>Monterey_Bay!$C$57</f>
        <v>80181</v>
      </c>
      <c r="AG16" s="1109">
        <f>Monterey_Bay!$C$58</f>
        <v>1097</v>
      </c>
      <c r="AH16" s="1109">
        <f>Monterey_Bay!$C$59</f>
        <v>0</v>
      </c>
      <c r="AI16" s="1109">
        <f t="shared" si="6"/>
        <v>152925</v>
      </c>
      <c r="AJ16" s="1109">
        <f>Monterey_Bay!$C$61</f>
        <v>49304</v>
      </c>
      <c r="AK16" s="1109">
        <f>Monterey_Bay!$C$62</f>
        <v>101936</v>
      </c>
      <c r="AL16" s="1109">
        <f>Monterey_Bay!$C$63</f>
        <v>40713</v>
      </c>
      <c r="AM16" s="1109">
        <f>Monterey_Bay!$C$64</f>
        <v>0</v>
      </c>
      <c r="AN16" s="1109">
        <f>Monterey_Bay!$C$65</f>
        <v>1685</v>
      </c>
      <c r="AO16" s="1109">
        <f>Monterey_Bay!$C$66</f>
        <v>0</v>
      </c>
      <c r="AP16" s="1109">
        <f t="shared" si="0"/>
        <v>5156</v>
      </c>
      <c r="AQ16" s="1109">
        <f>Monterey_Bay!$C$68</f>
        <v>0</v>
      </c>
      <c r="AR16" s="1109">
        <f>Monterey_Bay!$C$69</f>
        <v>5156</v>
      </c>
      <c r="AS16" s="1109">
        <f t="shared" si="7"/>
        <v>0</v>
      </c>
      <c r="AT16" s="1109">
        <f>Monterey_Bay!$C$71</f>
        <v>0</v>
      </c>
      <c r="AU16" s="1109">
        <f>Monterey_Bay!$C$72</f>
        <v>0</v>
      </c>
      <c r="AV16" s="1109">
        <f>Monterey_Bay!$C$73</f>
        <v>0</v>
      </c>
      <c r="AW16" s="1109">
        <f>Monterey_Bay!$C$74</f>
        <v>0</v>
      </c>
      <c r="AX16" s="1109">
        <f>Monterey_Bay!$C$75</f>
        <v>0</v>
      </c>
      <c r="AY16" s="1109">
        <f t="shared" si="1"/>
        <v>239359</v>
      </c>
      <c r="AZ16" s="1109">
        <f t="shared" si="8"/>
        <v>13149</v>
      </c>
      <c r="BA16" s="1109">
        <f>Monterey_Bay!$C$81</f>
        <v>2345</v>
      </c>
      <c r="BB16" s="1109">
        <f>Monterey_Bay!$C$82</f>
        <v>1955</v>
      </c>
      <c r="BC16" s="1109">
        <f>Monterey_Bay!$C$83</f>
        <v>5987</v>
      </c>
      <c r="BD16" s="1109">
        <f>Monterey_Bay!$C$84</f>
        <v>2273</v>
      </c>
      <c r="BE16" s="1109">
        <f>Monterey_Bay!$C$85</f>
        <v>589</v>
      </c>
      <c r="BF16" s="1109">
        <f>Monterey_Bay!$C$86</f>
        <v>0</v>
      </c>
      <c r="BG16" s="1109">
        <f t="shared" si="9"/>
        <v>10747</v>
      </c>
      <c r="BH16" s="1109">
        <f>Monterey_Bay!$C$88</f>
        <v>0</v>
      </c>
      <c r="BI16" s="1109">
        <f>Monterey_Bay!$C$89</f>
        <v>10747</v>
      </c>
      <c r="BJ16" s="1109">
        <f>Monterey_Bay!$C$90</f>
        <v>0</v>
      </c>
      <c r="BK16" s="1109">
        <f>Monterey_Bay!$C$91</f>
        <v>0</v>
      </c>
      <c r="BL16" s="1109">
        <f>Monterey_Bay!$C$92</f>
        <v>33426</v>
      </c>
      <c r="BM16" s="1109">
        <f>Monterey_Bay!$C$93</f>
        <v>14104</v>
      </c>
      <c r="BN16" s="1109">
        <f>Monterey_Bay!$C$94</f>
        <v>36466</v>
      </c>
      <c r="BO16" s="1109">
        <f t="shared" si="2"/>
        <v>1298406</v>
      </c>
      <c r="BP16" s="1109">
        <f>Monterey_Bay!$C$96</f>
        <v>0</v>
      </c>
      <c r="BQ16" s="1109">
        <f t="shared" si="10"/>
        <v>1298406</v>
      </c>
      <c r="BR16" s="1168">
        <f t="shared" si="11"/>
        <v>83660</v>
      </c>
      <c r="BS16" s="1168">
        <f>Monterey_Bay!$E$104</f>
        <v>70098</v>
      </c>
      <c r="BT16" s="1168">
        <f>Monterey_Bay!$C$105</f>
        <v>1914</v>
      </c>
      <c r="BU16" s="1168">
        <f>Monterey_Bay!$C$106</f>
        <v>197</v>
      </c>
      <c r="BV16" s="1168">
        <f>Monterey_Bay!$E$107</f>
        <v>10992</v>
      </c>
      <c r="BW16" s="1168">
        <f>Monterey_Bay!$E$108</f>
        <v>421</v>
      </c>
      <c r="BX16" s="1168">
        <f>Monterey_Bay!$E$109</f>
        <v>38</v>
      </c>
      <c r="BY16" s="1168">
        <f>Monterey_Bay!$E$110</f>
        <v>0</v>
      </c>
      <c r="BZ16" s="1168">
        <f t="shared" si="12"/>
        <v>47282</v>
      </c>
      <c r="CA16" s="1168">
        <f>Monterey_Bay!$E$112</f>
        <v>8718</v>
      </c>
      <c r="CB16" s="1168">
        <f>Monterey_Bay!$E$113</f>
        <v>38564</v>
      </c>
      <c r="CC16" s="1168">
        <f t="shared" si="13"/>
        <v>16722</v>
      </c>
      <c r="CD16" s="1168">
        <f t="shared" si="14"/>
        <v>8983</v>
      </c>
      <c r="CE16" s="1168">
        <f>Monterey_Bay!$E$117</f>
        <v>158</v>
      </c>
      <c r="CF16" s="1168">
        <f>Monterey_Bay!$E$118</f>
        <v>8825</v>
      </c>
      <c r="CG16" s="1168">
        <f t="shared" si="15"/>
        <v>7739</v>
      </c>
      <c r="CH16" s="1168">
        <f>Monterey_Bay!$E$120</f>
        <v>0</v>
      </c>
      <c r="CI16" s="1168">
        <f>Monterey_Bay!$E$121</f>
        <v>6006</v>
      </c>
      <c r="CJ16" s="1168">
        <f>Monterey_Bay!$E$122</f>
        <v>1733</v>
      </c>
      <c r="CK16" s="1168">
        <f t="shared" si="16"/>
        <v>2796</v>
      </c>
      <c r="CL16" s="1168">
        <f>Monterey_Bay!$E$126</f>
        <v>249</v>
      </c>
      <c r="CM16" s="1168">
        <f>Monterey_Bay!$E$127</f>
        <v>2547</v>
      </c>
      <c r="CN16" s="1168">
        <f t="shared" si="17"/>
        <v>1884</v>
      </c>
      <c r="CO16" s="1168">
        <f>Monterey_Bay!$E$130</f>
        <v>1</v>
      </c>
      <c r="CP16" s="1168">
        <f>Monterey_Bay!$E$131</f>
        <v>0</v>
      </c>
      <c r="CQ16" s="1168">
        <f>Monterey_Bay!$E$132</f>
        <v>1190</v>
      </c>
      <c r="CR16" s="1168">
        <f t="shared" si="18"/>
        <v>0</v>
      </c>
      <c r="CS16" s="1168">
        <f>Monterey_Bay!$E$134</f>
        <v>0</v>
      </c>
      <c r="CT16" s="1168">
        <f>Monterey_Bay!$E$135</f>
        <v>0</v>
      </c>
      <c r="CU16" s="1168">
        <f>Monterey_Bay!$E$136</f>
        <v>187</v>
      </c>
      <c r="CV16" s="1168">
        <f>Monterey_Bay!$E$138</f>
        <v>1</v>
      </c>
      <c r="CW16" s="1168">
        <f>Monterey_Bay!$E$139</f>
        <v>107</v>
      </c>
      <c r="CX16" s="1168">
        <f>Monterey_Bay!$E$140</f>
        <v>0</v>
      </c>
      <c r="CY16" s="1168" t="str">
        <f>Monterey_Bay!$E$141</f>
        <v>***</v>
      </c>
      <c r="CZ16" s="1168">
        <f>Monterey_Bay!$E$142</f>
        <v>129</v>
      </c>
      <c r="DA16" s="1168">
        <f>Monterey_Bay!$E$143</f>
        <v>269</v>
      </c>
      <c r="DB16" s="1168">
        <f t="shared" si="19"/>
        <v>184347</v>
      </c>
      <c r="DC16" s="1168" t="str">
        <f>Monterey_Bay!$C$148</f>
        <v>NA</v>
      </c>
      <c r="DD16" s="1168">
        <f>Monterey_Bay!$C$149</f>
        <v>184347</v>
      </c>
      <c r="DE16" s="1168">
        <f t="shared" si="20"/>
        <v>69566</v>
      </c>
      <c r="DF16" s="1168">
        <f>Monterey_Bay!$C$151</f>
        <v>69566</v>
      </c>
      <c r="DG16" s="1168" t="str">
        <f>Monterey_Bay!$C$152</f>
        <v>NA</v>
      </c>
      <c r="DH16" s="1168">
        <f t="shared" si="21"/>
        <v>56467</v>
      </c>
      <c r="DI16" s="1168">
        <f>Monterey_Bay!$C$156</f>
        <v>53448</v>
      </c>
      <c r="DJ16" s="1168">
        <f>Monterey_Bay!$C$157</f>
        <v>1773</v>
      </c>
      <c r="DK16" s="1168">
        <f>Monterey_Bay!$C$158</f>
        <v>28594</v>
      </c>
      <c r="DL16" s="1168">
        <f t="shared" si="22"/>
        <v>0</v>
      </c>
      <c r="DM16" s="1168" t="str">
        <f>Monterey_Bay!$C$160</f>
        <v>NA</v>
      </c>
      <c r="DN16" s="1168" t="str">
        <f>Monterey_Bay!$C$161</f>
        <v>NA</v>
      </c>
      <c r="DO16" s="1168">
        <f>Monterey_Bay!$C$162</f>
        <v>0</v>
      </c>
      <c r="DP16" s="1168">
        <f t="shared" si="23"/>
        <v>1246</v>
      </c>
      <c r="DQ16" s="1168">
        <f>Monterey_Bay!$C$164</f>
        <v>1246</v>
      </c>
      <c r="DR16" s="1168" t="str">
        <f>Monterey_Bay!$C$165</f>
        <v>NA</v>
      </c>
      <c r="DS16" s="1168" t="str">
        <f>Monterey_Bay!$C$166</f>
        <v>NA</v>
      </c>
      <c r="DT16" s="1168">
        <f t="shared" si="24"/>
        <v>1523</v>
      </c>
      <c r="DU16" s="1168">
        <f>Monterey_Bay!$C$169</f>
        <v>429</v>
      </c>
      <c r="DV16" s="1168">
        <f>Monterey_Bay!$C$170</f>
        <v>1094</v>
      </c>
      <c r="DW16" s="1168">
        <f t="shared" si="25"/>
        <v>1523</v>
      </c>
      <c r="DX16" s="1168">
        <f>Monterey_Bay!$C$172</f>
        <v>697</v>
      </c>
      <c r="DY16" s="1168">
        <f>Monterey_Bay!$C$173</f>
        <v>194</v>
      </c>
      <c r="DZ16" s="1168">
        <f>Monterey_Bay!$C$174</f>
        <v>632</v>
      </c>
      <c r="EA16" s="1168">
        <f t="shared" si="26"/>
        <v>0</v>
      </c>
      <c r="EB16" s="1168">
        <f>Monterey_Bay!$C$176</f>
        <v>0</v>
      </c>
      <c r="EC16" s="1168">
        <f>Monterey_Bay!$C$177</f>
        <v>0</v>
      </c>
      <c r="ED16" s="1168">
        <f>Monterey_Bay!$C$178</f>
        <v>0</v>
      </c>
      <c r="EE16" s="1168">
        <f t="shared" si="27"/>
        <v>3795</v>
      </c>
      <c r="EF16" s="1168">
        <f>Monterey_Bay!$C$181</f>
        <v>1284</v>
      </c>
      <c r="EG16" s="1168">
        <f>Monterey_Bay!$C$182</f>
        <v>2511</v>
      </c>
      <c r="EH16" s="1168">
        <f t="shared" si="28"/>
        <v>3795</v>
      </c>
      <c r="EI16" s="1168">
        <f>Monterey_Bay!$C$184</f>
        <v>1636</v>
      </c>
      <c r="EJ16" s="1168">
        <f>Monterey_Bay!$C$185</f>
        <v>379</v>
      </c>
      <c r="EK16" s="1168">
        <f>Monterey_Bay!$C$186</f>
        <v>1780</v>
      </c>
      <c r="EL16" s="1168">
        <f t="shared" si="29"/>
        <v>0</v>
      </c>
      <c r="EM16" s="1168">
        <f>Monterey_Bay!$C$188</f>
        <v>0</v>
      </c>
      <c r="EN16" s="1168">
        <f>Monterey_Bay!$C$189</f>
        <v>0</v>
      </c>
      <c r="EO16" s="1168">
        <f>Monterey_Bay!$C$190</f>
        <v>0</v>
      </c>
      <c r="EP16" s="1168">
        <f t="shared" si="30"/>
        <v>155</v>
      </c>
      <c r="EQ16" s="1168">
        <f>Monterey_Bay!$C$195</f>
        <v>154</v>
      </c>
      <c r="ER16" s="1168">
        <f>Monterey_Bay!$C$196</f>
        <v>1</v>
      </c>
      <c r="ES16" s="1168">
        <f>Monterey_Bay!$C$197</f>
        <v>0</v>
      </c>
      <c r="ET16" s="1168">
        <f t="shared" si="31"/>
        <v>2670</v>
      </c>
      <c r="EU16" s="1168">
        <f>Monterey_Bay!$C$199</f>
        <v>2648</v>
      </c>
      <c r="EV16" s="1168">
        <f>Monterey_Bay!$C$200</f>
        <v>22</v>
      </c>
      <c r="EW16" s="1168">
        <f>Monterey_Bay!$C$201</f>
        <v>0</v>
      </c>
      <c r="EX16" s="1168">
        <f>Monterey_Bay!$C$203</f>
        <v>35.5</v>
      </c>
      <c r="EY16" s="1168">
        <f>Monterey_Bay!$C$204</f>
        <v>326</v>
      </c>
      <c r="EZ16" s="1168">
        <f>Monterey_Bay!$C$205</f>
        <v>7</v>
      </c>
      <c r="FA16" s="1168">
        <f>Monterey_Bay!$C$206</f>
        <v>139</v>
      </c>
      <c r="FB16" s="1168">
        <f>Monterey_Bay!$C$207</f>
        <v>0</v>
      </c>
      <c r="FC16" s="1168">
        <f t="shared" si="32"/>
        <v>196</v>
      </c>
      <c r="FD16" s="1168">
        <f>Monterey_Bay!$E$212</f>
        <v>81</v>
      </c>
      <c r="FE16" s="1168" t="str">
        <f>Monterey_Bay!$E$213</f>
        <v xml:space="preserve"> </v>
      </c>
      <c r="FF16" s="1168">
        <f>Monterey_Bay!$E$214</f>
        <v>67</v>
      </c>
      <c r="FG16" s="1168">
        <f>Monterey_Bay!$E$215</f>
        <v>0</v>
      </c>
      <c r="FH16" s="1168">
        <f>Monterey_Bay!$E$216</f>
        <v>7</v>
      </c>
      <c r="FI16" s="1168">
        <f>Monterey_Bay!$E$217</f>
        <v>0</v>
      </c>
      <c r="FJ16" s="1168">
        <f>Monterey_Bay!$E$218</f>
        <v>41</v>
      </c>
      <c r="FK16" s="1168">
        <f>Monterey_Bay!$E$219</f>
        <v>0</v>
      </c>
      <c r="FL16" s="1168">
        <f>Monterey_Bay!$E$220</f>
        <v>0</v>
      </c>
      <c r="FM16" s="1168">
        <f>Monterey_Bay!$E$221</f>
        <v>0</v>
      </c>
      <c r="FN16" s="1168">
        <f>Monterey_Bay!$E$222</f>
        <v>0</v>
      </c>
      <c r="FO16" s="1168">
        <f>Monterey_Bay!$E$223</f>
        <v>0</v>
      </c>
      <c r="FP16" s="1168">
        <f>Monterey_Bay!$E$224</f>
        <v>0</v>
      </c>
      <c r="FQ16" s="1168">
        <f>Monterey_Bay!$E$225</f>
        <v>0</v>
      </c>
      <c r="FR16" s="1168">
        <f>Monterey_Bay!$E$226</f>
        <v>0</v>
      </c>
      <c r="FS16" s="1168">
        <f>Monterey_Bay!$E$227</f>
        <v>0</v>
      </c>
      <c r="FT16" s="1168">
        <f>Monterey_Bay!$C$230</f>
        <v>12899</v>
      </c>
      <c r="FU16" s="1168" t="str">
        <f>Monterey_Bay!$C$231</f>
        <v>NA</v>
      </c>
      <c r="FV16" s="1168" t="str">
        <f>Monterey_Bay!$C$232</f>
        <v>NA</v>
      </c>
      <c r="FW16" s="1168" t="str">
        <f>Monterey_Bay!$C$233</f>
        <v>NA</v>
      </c>
      <c r="FX16" s="1168" t="str">
        <f>Monterey_Bay!$C$234</f>
        <v>NA</v>
      </c>
      <c r="FY16" s="1168" t="str">
        <f>Monterey_Bay!$C$235</f>
        <v>NA</v>
      </c>
      <c r="FZ16" s="135"/>
      <c r="GA16" s="1146">
        <f>Monterey_Bay!$C$239</f>
        <v>83</v>
      </c>
      <c r="GB16" s="1168">
        <f>Monterey_Bay!$C$240</f>
        <v>12266</v>
      </c>
      <c r="GC16" s="1168">
        <f>Monterey_Bay!$C$241</f>
        <v>57</v>
      </c>
      <c r="GD16" s="1168">
        <f t="shared" si="33"/>
        <v>185</v>
      </c>
      <c r="GE16" s="1168">
        <f>Monterey_Bay!$G$246</f>
        <v>170</v>
      </c>
      <c r="GF16" s="1168">
        <f>Monterey_Bay!$G$247</f>
        <v>0</v>
      </c>
      <c r="GG16" s="1168">
        <f>Monterey_Bay!$G$248</f>
        <v>6</v>
      </c>
      <c r="GH16" s="1168">
        <f>Monterey_Bay!$G$249</f>
        <v>4</v>
      </c>
      <c r="GI16" s="1168">
        <f>Monterey_Bay!$G$250</f>
        <v>5</v>
      </c>
      <c r="GJ16" s="1180" t="str">
        <f>Monterey_Bay!$G$251</f>
        <v>na</v>
      </c>
    </row>
    <row r="17" spans="1:192">
      <c r="A17" s="1095" t="s">
        <v>757</v>
      </c>
      <c r="B17" s="135">
        <f>Northridge!$C$18</f>
        <v>0</v>
      </c>
      <c r="C17" s="135">
        <f>Northridge!$C$19</f>
        <v>0</v>
      </c>
      <c r="D17" s="135">
        <f>Northridge!$C$20</f>
        <v>0</v>
      </c>
      <c r="E17" s="135">
        <f>Northridge!$C$21</f>
        <v>0</v>
      </c>
      <c r="F17" s="1165">
        <f>Northridge!$C$22</f>
        <v>1</v>
      </c>
      <c r="G17" s="1166">
        <f>Northridge!$C$26</f>
        <v>32</v>
      </c>
      <c r="H17" s="1166">
        <f>Northridge!$C$27</f>
        <v>28</v>
      </c>
      <c r="I17" s="1166">
        <f>Northridge!$C$28</f>
        <v>2</v>
      </c>
      <c r="J17" s="1166">
        <f>Northridge!$C$29</f>
        <v>2</v>
      </c>
      <c r="K17" s="1166">
        <f>Northridge!$C$30</f>
        <v>0</v>
      </c>
      <c r="L17" s="1166">
        <f>Northridge!$C$32</f>
        <v>28</v>
      </c>
      <c r="M17" s="1166">
        <f>Northridge!$C$33</f>
        <v>23</v>
      </c>
      <c r="N17" s="1166">
        <f>Northridge!$C$34</f>
        <v>4</v>
      </c>
      <c r="O17" s="1166">
        <f>Northridge!$C$35</f>
        <v>1</v>
      </c>
      <c r="P17" s="1166">
        <f>Northridge!$C$36</f>
        <v>0</v>
      </c>
      <c r="Q17" s="1166">
        <f>Northridge!$C$37</f>
        <v>40</v>
      </c>
      <c r="R17" s="1167">
        <f>Northridge!$C$38</f>
        <v>0.2</v>
      </c>
      <c r="S17" s="1166">
        <f>Northridge!$C$39</f>
        <v>128</v>
      </c>
      <c r="T17" s="1109">
        <f>Northridge!$C$44</f>
        <v>2355032</v>
      </c>
      <c r="U17" s="1109">
        <f>Northridge!$C$45</f>
        <v>1919438</v>
      </c>
      <c r="V17" s="1109">
        <f>Northridge!$C$46</f>
        <v>435594</v>
      </c>
      <c r="W17" s="1109">
        <f>Northridge!$C$47</f>
        <v>0</v>
      </c>
      <c r="X17" s="1109">
        <f>Northridge!$C$48</f>
        <v>2056644</v>
      </c>
      <c r="Y17" s="1109">
        <f>Northridge!$C$49</f>
        <v>1172056</v>
      </c>
      <c r="Z17" s="1109">
        <f>Northridge!$C$50</f>
        <v>684486</v>
      </c>
      <c r="AA17" s="1109">
        <f>Northridge!$C$51</f>
        <v>200102</v>
      </c>
      <c r="AB17" s="1109">
        <f t="shared" si="3"/>
        <v>4411676</v>
      </c>
      <c r="AC17" s="1109">
        <f>Northridge!$C$52</f>
        <v>764898</v>
      </c>
      <c r="AD17" s="1109">
        <f t="shared" si="4"/>
        <v>5176574</v>
      </c>
      <c r="AE17" s="1109">
        <f t="shared" si="5"/>
        <v>490110</v>
      </c>
      <c r="AF17" s="1109">
        <f>Northridge!$C$57</f>
        <v>97394</v>
      </c>
      <c r="AG17" s="1109">
        <f>Northridge!$C$58</f>
        <v>147661</v>
      </c>
      <c r="AH17" s="1109">
        <f>Northridge!$C$59</f>
        <v>245055</v>
      </c>
      <c r="AI17" s="1109">
        <f t="shared" si="6"/>
        <v>1504735</v>
      </c>
      <c r="AJ17" s="1109">
        <f>Northridge!$C$61</f>
        <v>367937</v>
      </c>
      <c r="AK17" s="1109">
        <f>Northridge!$C$62</f>
        <v>1104387</v>
      </c>
      <c r="AL17" s="1109">
        <f>Northridge!$C$63</f>
        <v>277918</v>
      </c>
      <c r="AM17" s="1109">
        <f>Northridge!$C$64</f>
        <v>26934</v>
      </c>
      <c r="AN17" s="1109">
        <f>Northridge!$C$65</f>
        <v>4977</v>
      </c>
      <c r="AO17" s="1109">
        <f>Northridge!$C$66</f>
        <v>500</v>
      </c>
      <c r="AP17" s="1109">
        <f t="shared" si="0"/>
        <v>34773</v>
      </c>
      <c r="AQ17" s="1109">
        <f>Northridge!$C$68</f>
        <v>9145</v>
      </c>
      <c r="AR17" s="1109">
        <f>Northridge!$C$69</f>
        <v>25628</v>
      </c>
      <c r="AS17" s="1109">
        <f t="shared" si="7"/>
        <v>0</v>
      </c>
      <c r="AT17" s="1109">
        <f>Northridge!$C$71</f>
        <v>0</v>
      </c>
      <c r="AU17" s="1109">
        <f>Northridge!$C$72</f>
        <v>0</v>
      </c>
      <c r="AV17" s="1109">
        <f>Northridge!$C$73</f>
        <v>0</v>
      </c>
      <c r="AW17" s="1109">
        <f>Northridge!$C$74</f>
        <v>0</v>
      </c>
      <c r="AX17" s="1109">
        <f>Northridge!$C$75</f>
        <v>0</v>
      </c>
      <c r="AY17" s="1109">
        <f t="shared" si="1"/>
        <v>2029618</v>
      </c>
      <c r="AZ17" s="1109">
        <f t="shared" si="8"/>
        <v>14538</v>
      </c>
      <c r="BA17" s="1109">
        <f>Northridge!$C$81</f>
        <v>0</v>
      </c>
      <c r="BB17" s="1109">
        <f>Northridge!$C$82</f>
        <v>11218</v>
      </c>
      <c r="BC17" s="1109">
        <f>Northridge!$C$83</f>
        <v>2912</v>
      </c>
      <c r="BD17" s="1109">
        <f>Northridge!$C$84</f>
        <v>408</v>
      </c>
      <c r="BE17" s="1109">
        <f>Northridge!$C$85</f>
        <v>0</v>
      </c>
      <c r="BF17" s="1109">
        <f>Northridge!$C$86</f>
        <v>30363</v>
      </c>
      <c r="BG17" s="1109">
        <f t="shared" si="9"/>
        <v>68659</v>
      </c>
      <c r="BH17" s="1109">
        <f>Northridge!$C$88</f>
        <v>18656</v>
      </c>
      <c r="BI17" s="1109">
        <f>Northridge!$C$89</f>
        <v>50003</v>
      </c>
      <c r="BJ17" s="1109">
        <f>Northridge!$C$90</f>
        <v>0</v>
      </c>
      <c r="BK17" s="1109">
        <f>Northridge!$C$91</f>
        <v>275976</v>
      </c>
      <c r="BL17" s="1109">
        <f>Northridge!$C$92</f>
        <v>268427</v>
      </c>
      <c r="BM17" s="1109">
        <f>Northridge!$C$93</f>
        <v>95000</v>
      </c>
      <c r="BN17" s="1109">
        <f>Northridge!$C$94</f>
        <v>298870</v>
      </c>
      <c r="BO17" s="1109">
        <f t="shared" si="2"/>
        <v>8258025</v>
      </c>
      <c r="BP17" s="1109">
        <f>Northridge!$C$96</f>
        <v>0</v>
      </c>
      <c r="BQ17" s="1109">
        <f t="shared" si="10"/>
        <v>8258025</v>
      </c>
      <c r="BR17" s="1168">
        <f t="shared" si="11"/>
        <v>1414394</v>
      </c>
      <c r="BS17" s="1168">
        <f>Northridge!$E$104</f>
        <v>1117138</v>
      </c>
      <c r="BT17" s="1168">
        <f>Northridge!$C$105</f>
        <v>7591</v>
      </c>
      <c r="BU17" s="1168">
        <f>Northridge!$C$106</f>
        <v>2936</v>
      </c>
      <c r="BV17" s="1168">
        <f>Northridge!$E$107</f>
        <v>257779</v>
      </c>
      <c r="BW17" s="1168">
        <f>Northridge!$E$108</f>
        <v>15991</v>
      </c>
      <c r="BX17" s="1168">
        <f>Northridge!$E$109</f>
        <v>12959</v>
      </c>
      <c r="BY17" s="1168" t="str">
        <f>Northridge!$E$110</f>
        <v>n/a</v>
      </c>
      <c r="BZ17" s="1168">
        <f t="shared" si="12"/>
        <v>274713</v>
      </c>
      <c r="CA17" s="1168">
        <f>Northridge!$E$112</f>
        <v>274713</v>
      </c>
      <c r="CB17" s="1168" t="str">
        <f>Northridge!$E$113</f>
        <v>n/a</v>
      </c>
      <c r="CC17" s="1168">
        <f t="shared" si="13"/>
        <v>55256</v>
      </c>
      <c r="CD17" s="1168">
        <f t="shared" si="14"/>
        <v>55256</v>
      </c>
      <c r="CE17" s="1168">
        <f>Northridge!$E$117</f>
        <v>2342</v>
      </c>
      <c r="CF17" s="1168">
        <f>Northridge!$E$118</f>
        <v>52914</v>
      </c>
      <c r="CG17" s="1168">
        <f t="shared" si="15"/>
        <v>0</v>
      </c>
      <c r="CH17" s="1168" t="str">
        <f>Northridge!$E$120</f>
        <v>n/a</v>
      </c>
      <c r="CI17" s="1168" t="str">
        <f>Northridge!$E$121</f>
        <v>n/a</v>
      </c>
      <c r="CJ17" s="1168" t="str">
        <f>Northridge!$E$122</f>
        <v>n/a</v>
      </c>
      <c r="CK17" s="1168">
        <f t="shared" si="16"/>
        <v>28265</v>
      </c>
      <c r="CL17" s="1168">
        <f>Northridge!$E$126</f>
        <v>14219</v>
      </c>
      <c r="CM17" s="1168">
        <f>Northridge!$E$127</f>
        <v>14046</v>
      </c>
      <c r="CN17" s="1168">
        <f t="shared" si="17"/>
        <v>6454826</v>
      </c>
      <c r="CO17" s="1168" t="str">
        <f>Northridge!$E$130</f>
        <v>n/a</v>
      </c>
      <c r="CP17" s="1168">
        <f>Northridge!$E$131</f>
        <v>59780</v>
      </c>
      <c r="CQ17" s="1168">
        <f>Northridge!$E$132</f>
        <v>4427</v>
      </c>
      <c r="CR17" s="1168">
        <f t="shared" si="18"/>
        <v>3182339</v>
      </c>
      <c r="CS17" s="1168">
        <f>Northridge!$E$134</f>
        <v>2098162</v>
      </c>
      <c r="CT17" s="1168">
        <f>Northridge!$E$135</f>
        <v>1084177</v>
      </c>
      <c r="CU17" s="1168" t="str">
        <f>Northridge!$E$136</f>
        <v>n/a</v>
      </c>
      <c r="CV17" s="1168">
        <f>Northridge!$E$138</f>
        <v>11</v>
      </c>
      <c r="CW17" s="1168">
        <f>Northridge!$E$139</f>
        <v>23857</v>
      </c>
      <c r="CX17" s="1168">
        <f>SUM(Northridge!$E$140,Northridge!C252)</f>
        <v>900</v>
      </c>
      <c r="CY17" s="1168" t="str">
        <f>Northridge!$E$141</f>
        <v>n/a</v>
      </c>
      <c r="CZ17" s="1168">
        <f>Northridge!$E$142</f>
        <v>1173</v>
      </c>
      <c r="DA17" s="1168" t="str">
        <f>Northridge!$E$143</f>
        <v>n/a</v>
      </c>
      <c r="DB17" s="1168">
        <f t="shared" si="19"/>
        <v>12984169</v>
      </c>
      <c r="DC17" s="1168">
        <f>Northridge!$C$148</f>
        <v>12984169</v>
      </c>
      <c r="DD17" s="1168" t="str">
        <f>Northridge!$C$149</f>
        <v>n/a</v>
      </c>
      <c r="DE17" s="1168">
        <f t="shared" si="20"/>
        <v>591308</v>
      </c>
      <c r="DF17" s="1168">
        <f>Northridge!$C$151</f>
        <v>591308</v>
      </c>
      <c r="DG17" s="1168" t="str">
        <f>Northridge!$C$152</f>
        <v>n/a</v>
      </c>
      <c r="DH17" s="1168">
        <f t="shared" si="21"/>
        <v>375958</v>
      </c>
      <c r="DI17" s="1168">
        <f>Northridge!$C$156</f>
        <v>159867</v>
      </c>
      <c r="DJ17" s="1168">
        <f>Northridge!$C$157</f>
        <v>78197</v>
      </c>
      <c r="DK17" s="1168">
        <f>Northridge!$C$158</f>
        <v>170645</v>
      </c>
      <c r="DL17" s="1168">
        <f t="shared" si="22"/>
        <v>0</v>
      </c>
      <c r="DM17" s="1168" t="str">
        <f>Northridge!$C$160</f>
        <v>n/a</v>
      </c>
      <c r="DN17" s="1168" t="str">
        <f>Northridge!$C$161</f>
        <v>n/a</v>
      </c>
      <c r="DO17" s="1168" t="str">
        <f>Northridge!$C$162</f>
        <v>n/a</v>
      </c>
      <c r="DP17" s="1168">
        <f t="shared" si="23"/>
        <v>137894</v>
      </c>
      <c r="DQ17" s="1168">
        <f>Northridge!$C$164</f>
        <v>20214</v>
      </c>
      <c r="DR17" s="1168">
        <f>Northridge!$C$165</f>
        <v>117407</v>
      </c>
      <c r="DS17" s="1168">
        <f>Northridge!$C$166</f>
        <v>273</v>
      </c>
      <c r="DT17" s="1168">
        <f t="shared" si="24"/>
        <v>7330</v>
      </c>
      <c r="DU17" s="1168">
        <f>Northridge!$C$169</f>
        <v>2501</v>
      </c>
      <c r="DV17" s="1168">
        <f>Northridge!$C$170</f>
        <v>4829</v>
      </c>
      <c r="DW17" s="1168">
        <f t="shared" si="25"/>
        <v>7330</v>
      </c>
      <c r="DX17" s="1168">
        <f>Northridge!$C$172</f>
        <v>4950</v>
      </c>
      <c r="DY17" s="1168">
        <f>Northridge!$C$173</f>
        <v>536</v>
      </c>
      <c r="DZ17" s="1168">
        <f>Northridge!$C$174</f>
        <v>1844</v>
      </c>
      <c r="EA17" s="1168">
        <f t="shared" si="26"/>
        <v>0</v>
      </c>
      <c r="EB17" s="1168" t="str">
        <f>Northridge!$C$176</f>
        <v>n/a</v>
      </c>
      <c r="EC17" s="1168" t="str">
        <f>Northridge!$C$177</f>
        <v>n/a</v>
      </c>
      <c r="ED17" s="1168" t="str">
        <f>Northridge!$C$178</f>
        <v>n/a</v>
      </c>
      <c r="EE17" s="1168">
        <f t="shared" si="27"/>
        <v>6883</v>
      </c>
      <c r="EF17" s="1168">
        <f>Northridge!$C$181</f>
        <v>4453</v>
      </c>
      <c r="EG17" s="1168">
        <f>Northridge!$C$182</f>
        <v>2430</v>
      </c>
      <c r="EH17" s="1168">
        <f t="shared" si="28"/>
        <v>6883</v>
      </c>
      <c r="EI17" s="1168">
        <f>Northridge!$C$184</f>
        <v>3659</v>
      </c>
      <c r="EJ17" s="1168">
        <f>Northridge!$C$185</f>
        <v>419</v>
      </c>
      <c r="EK17" s="1168">
        <f>Northridge!$C$186</f>
        <v>2805</v>
      </c>
      <c r="EL17" s="1168">
        <f t="shared" si="29"/>
        <v>0</v>
      </c>
      <c r="EM17" s="1168" t="str">
        <f>Northridge!$C$188</f>
        <v>n/a</v>
      </c>
      <c r="EN17" s="1168" t="str">
        <f>Northridge!$C$189</f>
        <v>n/a</v>
      </c>
      <c r="EO17" s="1168" t="str">
        <f>Northridge!$C$190</f>
        <v>n/a</v>
      </c>
      <c r="EP17" s="1168">
        <f t="shared" si="30"/>
        <v>2575</v>
      </c>
      <c r="EQ17" s="1168">
        <f>Northridge!$C$195</f>
        <v>761</v>
      </c>
      <c r="ER17" s="1168">
        <f>Northridge!$C$196</f>
        <v>1814</v>
      </c>
      <c r="ES17" s="1168" t="str">
        <f>Northridge!$C$197</f>
        <v>n/a</v>
      </c>
      <c r="ET17" s="1168">
        <f t="shared" si="31"/>
        <v>22836</v>
      </c>
      <c r="EU17" s="1168">
        <f>Northridge!$C$199</f>
        <v>21022</v>
      </c>
      <c r="EV17" s="1168">
        <f>Northridge!$C$200</f>
        <v>1814</v>
      </c>
      <c r="EW17" s="1168" t="str">
        <f>Northridge!$C$201</f>
        <v>n/a</v>
      </c>
      <c r="EX17" s="1168">
        <f>Northridge!$C$203</f>
        <v>0</v>
      </c>
      <c r="EY17" s="1168">
        <f>Northridge!$C$204</f>
        <v>0</v>
      </c>
      <c r="EZ17" s="1168">
        <f>Northridge!$C$205</f>
        <v>79</v>
      </c>
      <c r="FA17" s="1168">
        <f>Northridge!$C$206</f>
        <v>2124</v>
      </c>
      <c r="FB17" s="1168" t="str">
        <f>Northridge!$C$207</f>
        <v>n/a</v>
      </c>
      <c r="FC17" s="1168">
        <f t="shared" si="32"/>
        <v>554</v>
      </c>
      <c r="FD17" s="1168">
        <f>Northridge!$E$212</f>
        <v>465</v>
      </c>
      <c r="FE17" s="1168">
        <f>Northridge!$E$213</f>
        <v>0</v>
      </c>
      <c r="FF17" s="1168">
        <f>Northridge!$E$214</f>
        <v>30</v>
      </c>
      <c r="FG17" s="1168">
        <f>Northridge!$E$215</f>
        <v>0</v>
      </c>
      <c r="FH17" s="1168">
        <f>Northridge!$E$216</f>
        <v>1</v>
      </c>
      <c r="FI17" s="1168">
        <f>Northridge!$E$217</f>
        <v>0</v>
      </c>
      <c r="FJ17" s="1168">
        <f>Northridge!$E$218</f>
        <v>30</v>
      </c>
      <c r="FK17" s="1168">
        <f>Northridge!$E$219</f>
        <v>0</v>
      </c>
      <c r="FL17" s="1168">
        <f>Northridge!$E$220</f>
        <v>17</v>
      </c>
      <c r="FM17" s="1168">
        <f>Northridge!$E$221</f>
        <v>11</v>
      </c>
      <c r="FN17" s="1168">
        <f>Northridge!$E$222</f>
        <v>0</v>
      </c>
      <c r="FO17" s="1168">
        <f>Northridge!$E$223</f>
        <v>0</v>
      </c>
      <c r="FP17" s="1168">
        <f>Northridge!$E$224</f>
        <v>0</v>
      </c>
      <c r="FQ17" s="1168">
        <f>Northridge!$E$225</f>
        <v>0</v>
      </c>
      <c r="FR17" s="1168">
        <f>Northridge!$E$226</f>
        <v>0</v>
      </c>
      <c r="FS17" s="1168">
        <f>Northridge!$E$227</f>
        <v>0</v>
      </c>
      <c r="FT17" s="1168">
        <f>Northridge!$C$230</f>
        <v>11698</v>
      </c>
      <c r="FU17" s="1168" t="str">
        <f>Northridge!$C$231</f>
        <v>n/a</v>
      </c>
      <c r="FV17" s="1168">
        <f>Northridge!$C$232</f>
        <v>526</v>
      </c>
      <c r="FW17" s="1168" t="str">
        <f>Northridge!$C$233</f>
        <v>n/a</v>
      </c>
      <c r="FX17" s="1168">
        <f>Northridge!$C$234</f>
        <v>761</v>
      </c>
      <c r="FY17" s="1168" t="str">
        <f>Northridge!$C$235</f>
        <v>n/a</v>
      </c>
      <c r="FZ17" s="135"/>
      <c r="GA17" s="1146">
        <f>Northridge!$C$239</f>
        <v>85</v>
      </c>
      <c r="GB17" s="1168">
        <f>Northridge!$C$240</f>
        <v>42403</v>
      </c>
      <c r="GC17" s="1168">
        <f>Northridge!$C$241</f>
        <v>269.25</v>
      </c>
      <c r="GD17" s="1168">
        <f t="shared" si="33"/>
        <v>0</v>
      </c>
      <c r="GE17" s="1168">
        <f>Northridge!$G$246</f>
        <v>0</v>
      </c>
      <c r="GF17" s="1168">
        <f>Northridge!$G$247</f>
        <v>0</v>
      </c>
      <c r="GG17" s="1168">
        <f>Northridge!$G$248</f>
        <v>0</v>
      </c>
      <c r="GH17" s="1168">
        <f>Northridge!$G$249</f>
        <v>0</v>
      </c>
      <c r="GI17" s="1168">
        <f>Northridge!$G$250</f>
        <v>0</v>
      </c>
      <c r="GJ17" s="1180">
        <f>Northridge!$G$251</f>
        <v>0</v>
      </c>
    </row>
    <row r="18" spans="1:192">
      <c r="A18" s="1095" t="s">
        <v>758</v>
      </c>
      <c r="B18" s="135">
        <f>Pomona!$C$18</f>
        <v>0</v>
      </c>
      <c r="C18" s="135">
        <f>Pomona!$C$19</f>
        <v>3</v>
      </c>
      <c r="D18" s="135">
        <f>Pomona!$C$20</f>
        <v>37</v>
      </c>
      <c r="E18" s="135">
        <f>Pomona!$C$21</f>
        <v>2</v>
      </c>
      <c r="F18" s="1165">
        <f>Pomona!$C$22</f>
        <v>6</v>
      </c>
      <c r="G18" s="1166">
        <f>Pomona!$C$26</f>
        <v>12.5</v>
      </c>
      <c r="H18" s="1166">
        <f>Pomona!$C$27</f>
        <v>11.5</v>
      </c>
      <c r="I18" s="1166">
        <f>Pomona!$C$28</f>
        <v>0</v>
      </c>
      <c r="J18" s="1166">
        <f>Pomona!$C$29</f>
        <v>1</v>
      </c>
      <c r="K18" s="1166">
        <f>Pomona!$C$30</f>
        <v>0</v>
      </c>
      <c r="L18" s="1166">
        <f>Pomona!$C$32</f>
        <v>18.5</v>
      </c>
      <c r="M18" s="1166">
        <f>Pomona!$C$33</f>
        <v>11.120000000000001</v>
      </c>
      <c r="N18" s="1166">
        <f>Pomona!$C$34</f>
        <v>4</v>
      </c>
      <c r="O18" s="1166">
        <f>Pomona!$C$35</f>
        <v>0</v>
      </c>
      <c r="P18" s="1166">
        <f>Pomona!$C$36</f>
        <v>0.22</v>
      </c>
      <c r="Q18" s="1166">
        <f>Pomona!$C$37</f>
        <v>8.4700000000000006</v>
      </c>
      <c r="R18" s="1167">
        <f>Pomona!$C$38</f>
        <v>0</v>
      </c>
      <c r="S18" s="1166">
        <f>Pomona!$C$39</f>
        <v>54.59</v>
      </c>
      <c r="T18" s="1109">
        <f>Pomona!$C$44</f>
        <v>1024804</v>
      </c>
      <c r="U18" s="1109">
        <f>Pomona!$C$45</f>
        <v>907895</v>
      </c>
      <c r="V18" s="1109">
        <f>Pomona!$C$46</f>
        <v>116909</v>
      </c>
      <c r="W18" s="1109">
        <f>Pomona!$C$47</f>
        <v>0</v>
      </c>
      <c r="X18" s="1109">
        <f>Pomona!$C$48</f>
        <v>1440598</v>
      </c>
      <c r="Y18" s="1109">
        <f>Pomona!$C$49</f>
        <v>741748</v>
      </c>
      <c r="Z18" s="1109">
        <f>Pomona!$C$50</f>
        <v>499542</v>
      </c>
      <c r="AA18" s="1109">
        <f>Pomona!$C$51</f>
        <v>199308</v>
      </c>
      <c r="AB18" s="1109">
        <f t="shared" si="3"/>
        <v>2465402</v>
      </c>
      <c r="AC18" s="1109">
        <f>Pomona!$C$52</f>
        <v>188860</v>
      </c>
      <c r="AD18" s="1109">
        <f t="shared" si="4"/>
        <v>2654262</v>
      </c>
      <c r="AE18" s="1109">
        <f t="shared" si="5"/>
        <v>150475</v>
      </c>
      <c r="AF18" s="1109">
        <f>Pomona!$C$57</f>
        <v>119584</v>
      </c>
      <c r="AG18" s="1109">
        <f>Pomona!$C$58</f>
        <v>18310</v>
      </c>
      <c r="AH18" s="1109">
        <f>Pomona!$C$59</f>
        <v>12581</v>
      </c>
      <c r="AI18" s="1109">
        <f t="shared" si="6"/>
        <v>1043311</v>
      </c>
      <c r="AJ18" s="1109">
        <f>Pomona!$C$61</f>
        <v>226972</v>
      </c>
      <c r="AK18" s="1109">
        <f>Pomona!$C$62</f>
        <v>815784</v>
      </c>
      <c r="AL18" s="1109">
        <f>Pomona!$C$63</f>
        <v>309097</v>
      </c>
      <c r="AM18" s="1109">
        <f>Pomona!$C$64</f>
        <v>328</v>
      </c>
      <c r="AN18" s="1109">
        <f>Pomona!$C$65</f>
        <v>227</v>
      </c>
      <c r="AO18" s="1109">
        <f>Pomona!$C$66</f>
        <v>0</v>
      </c>
      <c r="AP18" s="1109">
        <f t="shared" si="0"/>
        <v>7858</v>
      </c>
      <c r="AQ18" s="1109">
        <f>Pomona!$C$68</f>
        <v>358</v>
      </c>
      <c r="AR18" s="1109">
        <f>Pomona!$C$69</f>
        <v>7500</v>
      </c>
      <c r="AS18" s="1109">
        <f t="shared" si="7"/>
        <v>486</v>
      </c>
      <c r="AT18" s="1109">
        <f>Pomona!$C$71</f>
        <v>486</v>
      </c>
      <c r="AU18" s="1109">
        <f>Pomona!$C$72</f>
        <v>0</v>
      </c>
      <c r="AV18" s="1109">
        <f>Pomona!$C$73</f>
        <v>0</v>
      </c>
      <c r="AW18" s="1109">
        <f>Pomona!$C$74</f>
        <v>0</v>
      </c>
      <c r="AX18" s="1109">
        <f>Pomona!$C$75</f>
        <v>0</v>
      </c>
      <c r="AY18" s="1109">
        <f t="shared" si="1"/>
        <v>1202130</v>
      </c>
      <c r="AZ18" s="1109">
        <f t="shared" si="8"/>
        <v>96503</v>
      </c>
      <c r="BA18" s="1109">
        <f>Pomona!$C$81</f>
        <v>24400</v>
      </c>
      <c r="BB18" s="1109">
        <f>Pomona!$C$82</f>
        <v>19709</v>
      </c>
      <c r="BC18" s="1109">
        <f>Pomona!$C$83</f>
        <v>34171</v>
      </c>
      <c r="BD18" s="1109">
        <f>Pomona!$C$84</f>
        <v>14333</v>
      </c>
      <c r="BE18" s="1109">
        <f>Pomona!$C$85</f>
        <v>3890</v>
      </c>
      <c r="BF18" s="1109">
        <f>Pomona!$C$86</f>
        <v>0</v>
      </c>
      <c r="BG18" s="1109">
        <f t="shared" si="9"/>
        <v>1923</v>
      </c>
      <c r="BH18" s="1109" t="str">
        <f>Pomona!$C$88</f>
        <v>NA</v>
      </c>
      <c r="BI18" s="1109">
        <f>Pomona!$C$89</f>
        <v>1923</v>
      </c>
      <c r="BJ18" s="1109">
        <f>Pomona!$C$90</f>
        <v>0</v>
      </c>
      <c r="BK18" s="1109">
        <f>Pomona!$C$91</f>
        <v>15354</v>
      </c>
      <c r="BL18" s="1109">
        <f>Pomona!$C$92</f>
        <v>197156</v>
      </c>
      <c r="BM18" s="1109">
        <f>Pomona!$C$93</f>
        <v>54797</v>
      </c>
      <c r="BN18" s="1109">
        <f>Pomona!$C$94</f>
        <v>9150</v>
      </c>
      <c r="BO18" s="1109">
        <f t="shared" si="2"/>
        <v>4231275</v>
      </c>
      <c r="BP18" s="1109">
        <f>Pomona!$C$96</f>
        <v>0</v>
      </c>
      <c r="BQ18" s="1109">
        <f t="shared" si="10"/>
        <v>4231275</v>
      </c>
      <c r="BR18" s="1168">
        <f t="shared" si="11"/>
        <v>828866</v>
      </c>
      <c r="BS18" s="1168">
        <f>Pomona!$E$104</f>
        <v>658129</v>
      </c>
      <c r="BT18" s="1168">
        <f>Pomona!$C$105</f>
        <v>4663</v>
      </c>
      <c r="BU18" s="1168">
        <f>Pomona!$C$106</f>
        <v>1071</v>
      </c>
      <c r="BV18" s="1168">
        <f>Pomona!$E$107</f>
        <v>148780</v>
      </c>
      <c r="BW18" s="1168">
        <f>Pomona!$E$108</f>
        <v>16223</v>
      </c>
      <c r="BX18" s="1168">
        <f>Pomona!$E$109</f>
        <v>0</v>
      </c>
      <c r="BY18" s="1168">
        <f>Pomona!$E$110</f>
        <v>0</v>
      </c>
      <c r="BZ18" s="1168">
        <f t="shared" si="12"/>
        <v>19807</v>
      </c>
      <c r="CA18" s="1168">
        <f>Pomona!$E$112</f>
        <v>19807</v>
      </c>
      <c r="CB18" s="1168">
        <f>Pomona!$E$113</f>
        <v>0</v>
      </c>
      <c r="CC18" s="1168">
        <f t="shared" si="13"/>
        <v>143972</v>
      </c>
      <c r="CD18" s="1168">
        <f t="shared" si="14"/>
        <v>117862</v>
      </c>
      <c r="CE18" s="1168">
        <f>Pomona!$E$117</f>
        <v>2834</v>
      </c>
      <c r="CF18" s="1168">
        <f>Pomona!$E$118</f>
        <v>115028</v>
      </c>
      <c r="CG18" s="1168">
        <f t="shared" si="15"/>
        <v>26110</v>
      </c>
      <c r="CH18" s="1168">
        <f>Pomona!$E$120</f>
        <v>97</v>
      </c>
      <c r="CI18" s="1168">
        <f>Pomona!$E$121</f>
        <v>26013</v>
      </c>
      <c r="CJ18" s="1168">
        <f>Pomona!$E$122</f>
        <v>0</v>
      </c>
      <c r="CK18" s="1168">
        <f t="shared" si="16"/>
        <v>10886</v>
      </c>
      <c r="CL18" s="1168">
        <f>Pomona!$E$126</f>
        <v>2984</v>
      </c>
      <c r="CM18" s="1168">
        <f>Pomona!$E$127</f>
        <v>7902</v>
      </c>
      <c r="CN18" s="1168">
        <f t="shared" si="17"/>
        <v>2860411</v>
      </c>
      <c r="CO18" s="1168">
        <f>Pomona!$E$130</f>
        <v>1149</v>
      </c>
      <c r="CP18" s="1168">
        <f>Pomona!$E$131</f>
        <v>24</v>
      </c>
      <c r="CQ18" s="1168">
        <f>Pomona!$E$132</f>
        <v>1633</v>
      </c>
      <c r="CR18" s="1168">
        <f t="shared" si="18"/>
        <v>1428459</v>
      </c>
      <c r="CS18" s="1168">
        <f>Pomona!$E$134</f>
        <v>17223</v>
      </c>
      <c r="CT18" s="1168">
        <f>Pomona!$E$135</f>
        <v>1411236</v>
      </c>
      <c r="CU18" s="1168">
        <f>Pomona!$E$136</f>
        <v>0</v>
      </c>
      <c r="CV18" s="1168">
        <f>Pomona!$E$138</f>
        <v>0</v>
      </c>
      <c r="CW18" s="1168">
        <f>Pomona!$E$139</f>
        <v>0</v>
      </c>
      <c r="CX18" s="1168">
        <f>Pomona!$E$140</f>
        <v>0</v>
      </c>
      <c r="CY18" s="1168" t="str">
        <f>Pomona!$E$141</f>
        <v>***</v>
      </c>
      <c r="CZ18" s="1168">
        <f>Pomona!$E$142</f>
        <v>325</v>
      </c>
      <c r="DA18" s="1168">
        <f>Pomona!$E$143</f>
        <v>362</v>
      </c>
      <c r="DB18" s="1168">
        <f t="shared" si="19"/>
        <v>12158231</v>
      </c>
      <c r="DC18" s="1168">
        <f>Pomona!$C$148</f>
        <v>419551</v>
      </c>
      <c r="DD18" s="1168">
        <f>Pomona!$C$149</f>
        <v>11738680</v>
      </c>
      <c r="DE18" s="1168">
        <f t="shared" si="20"/>
        <v>1356244</v>
      </c>
      <c r="DF18" s="1168">
        <f>Pomona!$C$151</f>
        <v>368573</v>
      </c>
      <c r="DG18" s="1168">
        <f>Pomona!$C$152</f>
        <v>987671</v>
      </c>
      <c r="DH18" s="1168">
        <f t="shared" si="21"/>
        <v>85804</v>
      </c>
      <c r="DI18" s="1168">
        <f>Pomona!$C$156</f>
        <v>62098</v>
      </c>
      <c r="DJ18" s="1168">
        <f>Pomona!$C$157</f>
        <v>5609</v>
      </c>
      <c r="DK18" s="1168">
        <f>Pomona!$C$158</f>
        <v>30088</v>
      </c>
      <c r="DL18" s="1168">
        <f t="shared" si="22"/>
        <v>2001</v>
      </c>
      <c r="DM18" s="1168">
        <f>Pomona!$C$160</f>
        <v>306</v>
      </c>
      <c r="DN18" s="1168">
        <f>Pomona!$C$161</f>
        <v>844</v>
      </c>
      <c r="DO18" s="1168">
        <f>Pomona!$C$162</f>
        <v>851</v>
      </c>
      <c r="DP18" s="1168">
        <f t="shared" si="23"/>
        <v>18097</v>
      </c>
      <c r="DQ18" s="1168">
        <f>Pomona!$C$164</f>
        <v>6893</v>
      </c>
      <c r="DR18" s="1168">
        <f>Pomona!$C$165</f>
        <v>11152</v>
      </c>
      <c r="DS18" s="1168">
        <f>Pomona!$C$166</f>
        <v>52</v>
      </c>
      <c r="DT18" s="1168">
        <f t="shared" si="24"/>
        <v>5860</v>
      </c>
      <c r="DU18" s="1168">
        <f>Pomona!$C$169</f>
        <v>2889</v>
      </c>
      <c r="DV18" s="1168">
        <f>Pomona!$C$170</f>
        <v>2971</v>
      </c>
      <c r="DW18" s="1168">
        <f t="shared" si="25"/>
        <v>5743</v>
      </c>
      <c r="DX18" s="1168">
        <f>Pomona!$C$172</f>
        <v>2978</v>
      </c>
      <c r="DY18" s="1168">
        <f>Pomona!$C$173</f>
        <v>700</v>
      </c>
      <c r="DZ18" s="1168">
        <f>Pomona!$C$174</f>
        <v>2065</v>
      </c>
      <c r="EA18" s="1168">
        <f t="shared" si="26"/>
        <v>14295</v>
      </c>
      <c r="EB18" s="1168">
        <f>Pomona!$C$176</f>
        <v>4289</v>
      </c>
      <c r="EC18" s="1168">
        <f>Pomona!$C$177</f>
        <v>28</v>
      </c>
      <c r="ED18" s="1168">
        <f>Pomona!$C$178</f>
        <v>9978</v>
      </c>
      <c r="EE18" s="1168">
        <f t="shared" si="27"/>
        <v>7053</v>
      </c>
      <c r="EF18" s="1168">
        <f>Pomona!$C$181</f>
        <v>1140</v>
      </c>
      <c r="EG18" s="1168">
        <f>Pomona!$C$182</f>
        <v>5913</v>
      </c>
      <c r="EH18" s="1168">
        <f t="shared" si="28"/>
        <v>6628</v>
      </c>
      <c r="EI18" s="1168">
        <f>Pomona!$C$184</f>
        <v>2564</v>
      </c>
      <c r="EJ18" s="1168">
        <f>Pomona!$C$185</f>
        <v>1088</v>
      </c>
      <c r="EK18" s="1168">
        <f>Pomona!$C$186</f>
        <v>2976</v>
      </c>
      <c r="EL18" s="1168">
        <f t="shared" si="29"/>
        <v>8918</v>
      </c>
      <c r="EM18" s="1168">
        <f>Pomona!$C$188</f>
        <v>3056</v>
      </c>
      <c r="EN18" s="1168">
        <f>Pomona!$C$189</f>
        <v>48</v>
      </c>
      <c r="EO18" s="1168">
        <f>Pomona!$C$190</f>
        <v>5814</v>
      </c>
      <c r="EP18" s="1168">
        <f t="shared" si="30"/>
        <v>269</v>
      </c>
      <c r="EQ18" s="1168">
        <f>Pomona!$C$195</f>
        <v>242</v>
      </c>
      <c r="ER18" s="1168">
        <f>Pomona!$C$196</f>
        <v>5</v>
      </c>
      <c r="ES18" s="1168">
        <f>Pomona!$C$197</f>
        <v>22</v>
      </c>
      <c r="ET18" s="1168">
        <f t="shared" si="31"/>
        <v>7788</v>
      </c>
      <c r="EU18" s="1168">
        <f>Pomona!$C$199</f>
        <v>7329</v>
      </c>
      <c r="EV18" s="1168">
        <f>Pomona!$C$200</f>
        <v>129</v>
      </c>
      <c r="EW18" s="1168">
        <f>Pomona!$C$201</f>
        <v>330</v>
      </c>
      <c r="EX18" s="1168">
        <f>Pomona!$C$203</f>
        <v>0</v>
      </c>
      <c r="EY18" s="1168">
        <f>Pomona!$C$204</f>
        <v>0</v>
      </c>
      <c r="EZ18" s="1168">
        <f>Pomona!$C$205</f>
        <v>97</v>
      </c>
      <c r="FA18" s="1168">
        <f>Pomona!$C$206</f>
        <v>3294</v>
      </c>
      <c r="FB18" s="1168" t="str">
        <f>Pomona!$C$207</f>
        <v>NA</v>
      </c>
      <c r="FC18" s="1168">
        <f t="shared" si="32"/>
        <v>376</v>
      </c>
      <c r="FD18" s="1168">
        <f>Pomona!$E$212</f>
        <v>344</v>
      </c>
      <c r="FE18" s="1168">
        <f>Pomona!$E$213</f>
        <v>0</v>
      </c>
      <c r="FF18" s="1168">
        <f>Pomona!$E$214</f>
        <v>0</v>
      </c>
      <c r="FG18" s="1168">
        <f>Pomona!$E$215</f>
        <v>0</v>
      </c>
      <c r="FH18" s="1168">
        <f>Pomona!$E$216</f>
        <v>3</v>
      </c>
      <c r="FI18" s="1168">
        <f>Pomona!$E$217</f>
        <v>0</v>
      </c>
      <c r="FJ18" s="1168">
        <f>Pomona!$E$218</f>
        <v>19</v>
      </c>
      <c r="FK18" s="1168">
        <f>Pomona!$E$219</f>
        <v>0</v>
      </c>
      <c r="FL18" s="1168">
        <f>Pomona!$E$220</f>
        <v>10</v>
      </c>
      <c r="FM18" s="1168">
        <f>Pomona!$E$221</f>
        <v>0</v>
      </c>
      <c r="FN18" s="1168">
        <f>Pomona!$E$222</f>
        <v>0</v>
      </c>
      <c r="FO18" s="1168">
        <f>Pomona!$E$223</f>
        <v>0</v>
      </c>
      <c r="FP18" s="1168">
        <f>Pomona!$E$224</f>
        <v>0</v>
      </c>
      <c r="FQ18" s="1168">
        <f>Pomona!$E$225</f>
        <v>0</v>
      </c>
      <c r="FR18" s="1168">
        <f>Pomona!$E$226</f>
        <v>0</v>
      </c>
      <c r="FS18" s="1168">
        <f>Pomona!$E$227</f>
        <v>0</v>
      </c>
      <c r="FT18" s="1168" t="str">
        <f>Pomona!$C$230</f>
        <v>NA</v>
      </c>
      <c r="FU18" s="1168" t="str">
        <f>Pomona!$C$231</f>
        <v>NA</v>
      </c>
      <c r="FV18" s="1168">
        <f>Pomona!$C$232</f>
        <v>180</v>
      </c>
      <c r="FW18" s="1168" t="str">
        <f>Pomona!$C$233</f>
        <v>NA</v>
      </c>
      <c r="FX18" s="1168">
        <f>Pomona!$C$234</f>
        <v>570</v>
      </c>
      <c r="FY18" s="1168" t="str">
        <f>Pomona!$C$235</f>
        <v>NA</v>
      </c>
      <c r="FZ18" s="135"/>
      <c r="GA18" s="1146">
        <f>Pomona!$C$239</f>
        <v>85.5</v>
      </c>
      <c r="GB18" s="1168">
        <f>Pomona!$C$240</f>
        <v>32717</v>
      </c>
      <c r="GC18" s="1168">
        <f>Pomona!$C$241</f>
        <v>52</v>
      </c>
      <c r="GD18" s="1168">
        <f t="shared" si="33"/>
        <v>7677</v>
      </c>
      <c r="GE18" s="1168">
        <f>Pomona!$G$246</f>
        <v>434</v>
      </c>
      <c r="GF18" s="1168">
        <f>Pomona!$G$247</f>
        <v>0</v>
      </c>
      <c r="GG18" s="1168">
        <f>Pomona!$G$248</f>
        <v>31</v>
      </c>
      <c r="GH18" s="1168">
        <f>Pomona!$G$249</f>
        <v>37</v>
      </c>
      <c r="GI18" s="1168">
        <f>Pomona!$G$250</f>
        <v>4</v>
      </c>
      <c r="GJ18" s="1180">
        <f>Pomona!$G$251</f>
        <v>7171</v>
      </c>
    </row>
    <row r="19" spans="1:192">
      <c r="A19" s="771" t="s">
        <v>640</v>
      </c>
      <c r="B19" s="135">
        <f>Sacramento!$C$18</f>
        <v>0</v>
      </c>
      <c r="C19" s="135">
        <f>Sacramento!$C$19</f>
        <v>7</v>
      </c>
      <c r="D19" s="135">
        <f>Sacramento!$C$20</f>
        <v>79</v>
      </c>
      <c r="E19" s="135">
        <f>Sacramento!$C$21</f>
        <v>4</v>
      </c>
      <c r="F19" s="1165">
        <f>Sacramento!$C$22</f>
        <v>14</v>
      </c>
      <c r="G19" s="1166">
        <f>Sacramento!$C$26</f>
        <v>26.51</v>
      </c>
      <c r="H19" s="1166">
        <f>Sacramento!$C$27</f>
        <v>24.51</v>
      </c>
      <c r="I19" s="1166">
        <f>Sacramento!$C$28</f>
        <v>2</v>
      </c>
      <c r="J19" s="1166">
        <f>Sacramento!$C$29</f>
        <v>0</v>
      </c>
      <c r="K19" s="1166">
        <f>Sacramento!$C$30</f>
        <v>0</v>
      </c>
      <c r="L19" s="1166">
        <f>Sacramento!$C$32</f>
        <v>33.5</v>
      </c>
      <c r="M19" s="1166">
        <f>Sacramento!$C$33</f>
        <v>5.5</v>
      </c>
      <c r="N19" s="1166">
        <f>Sacramento!$C$34</f>
        <v>2.5</v>
      </c>
      <c r="O19" s="1166">
        <f>Sacramento!$C$35</f>
        <v>0</v>
      </c>
      <c r="P19" s="1166">
        <f>Sacramento!$C$36</f>
        <v>1</v>
      </c>
      <c r="Q19" s="1166">
        <f>Sacramento!$C$37</f>
        <v>26.28</v>
      </c>
      <c r="R19" s="1167">
        <f>Sacramento!$C$38</f>
        <v>0.22</v>
      </c>
      <c r="S19" s="1166">
        <f>Sacramento!$C$39</f>
        <v>94.29</v>
      </c>
      <c r="T19" s="1109">
        <f>Sacramento!$C$44</f>
        <v>2259071</v>
      </c>
      <c r="U19" s="1109">
        <f>Sacramento!$C$45</f>
        <v>2040604</v>
      </c>
      <c r="V19" s="1109">
        <f>Sacramento!$C$46</f>
        <v>218467</v>
      </c>
      <c r="W19" s="1109">
        <f>Sacramento!$C$47</f>
        <v>0</v>
      </c>
      <c r="X19" s="1109">
        <f>Sacramento!$C$48</f>
        <v>1769464</v>
      </c>
      <c r="Y19" s="1109">
        <f>Sacramento!$C$49</f>
        <v>1370641</v>
      </c>
      <c r="Z19" s="1109">
        <f>Sacramento!$C$50</f>
        <v>248041</v>
      </c>
      <c r="AA19" s="1109">
        <f>Sacramento!$C$51</f>
        <v>150782</v>
      </c>
      <c r="AB19" s="1109">
        <f t="shared" si="3"/>
        <v>4028535</v>
      </c>
      <c r="AC19" s="1109">
        <f>Sacramento!$C$52</f>
        <v>506234</v>
      </c>
      <c r="AD19" s="1109">
        <f t="shared" si="4"/>
        <v>4534769</v>
      </c>
      <c r="AE19" s="1109">
        <f t="shared" si="5"/>
        <v>495922</v>
      </c>
      <c r="AF19" s="1109">
        <f>Sacramento!$C$57</f>
        <v>473081</v>
      </c>
      <c r="AG19" s="1109">
        <f>Sacramento!$C$58</f>
        <v>22841</v>
      </c>
      <c r="AH19" s="1109">
        <f>Sacramento!$C$59</f>
        <v>0</v>
      </c>
      <c r="AI19" s="1109">
        <f t="shared" si="6"/>
        <v>1622459</v>
      </c>
      <c r="AJ19" s="1109">
        <f>Sacramento!$C$61</f>
        <v>350087</v>
      </c>
      <c r="AK19" s="1109">
        <f>Sacramento!$C$62</f>
        <v>1156552</v>
      </c>
      <c r="AL19" s="1109">
        <f>Sacramento!$C$63</f>
        <v>378231</v>
      </c>
      <c r="AM19" s="1109">
        <f>Sacramento!$C$64</f>
        <v>67877</v>
      </c>
      <c r="AN19" s="1109">
        <f>Sacramento!$C$65</f>
        <v>47943</v>
      </c>
      <c r="AO19" s="1109">
        <f>Sacramento!$C$66</f>
        <v>0</v>
      </c>
      <c r="AP19" s="1109">
        <f t="shared" si="0"/>
        <v>36349</v>
      </c>
      <c r="AQ19" s="1109">
        <f>Sacramento!$C$68</f>
        <v>435</v>
      </c>
      <c r="AR19" s="1109">
        <f>Sacramento!$C$69</f>
        <v>35914</v>
      </c>
      <c r="AS19" s="1109">
        <f t="shared" si="7"/>
        <v>3433</v>
      </c>
      <c r="AT19" s="1109">
        <f>Sacramento!$C$71</f>
        <v>0</v>
      </c>
      <c r="AU19" s="1109">
        <f>Sacramento!$C$72</f>
        <v>3263</v>
      </c>
      <c r="AV19" s="1109">
        <f>Sacramento!$C$73</f>
        <v>0</v>
      </c>
      <c r="AW19" s="1109">
        <f>Sacramento!$C$74</f>
        <v>0</v>
      </c>
      <c r="AX19" s="1109">
        <f>Sacramento!$C$75</f>
        <v>170</v>
      </c>
      <c r="AY19" s="1109">
        <f t="shared" si="1"/>
        <v>2158163</v>
      </c>
      <c r="AZ19" s="1109">
        <f t="shared" si="8"/>
        <v>8618</v>
      </c>
      <c r="BA19" s="1109">
        <f>Sacramento!$C$81</f>
        <v>0</v>
      </c>
      <c r="BB19" s="1169" t="str">
        <f>Sacramento!$C$82</f>
        <v>NA</v>
      </c>
      <c r="BC19" s="1170">
        <f>Sacramento!$C$83</f>
        <v>931</v>
      </c>
      <c r="BD19" s="1170">
        <f>Sacramento!$C$84</f>
        <v>295</v>
      </c>
      <c r="BE19" s="1170">
        <f>Sacramento!$C$85</f>
        <v>7392</v>
      </c>
      <c r="BF19" s="1170">
        <f>Sacramento!$C$86</f>
        <v>0</v>
      </c>
      <c r="BG19" s="1109">
        <f t="shared" si="9"/>
        <v>38134</v>
      </c>
      <c r="BH19" s="1170">
        <f>Sacramento!$C$88</f>
        <v>2578</v>
      </c>
      <c r="BI19" s="1170">
        <f>Sacramento!$C$89</f>
        <v>31872</v>
      </c>
      <c r="BJ19" s="1170">
        <f>Sacramento!$C$90</f>
        <v>3684</v>
      </c>
      <c r="BK19" s="1170">
        <f>Sacramento!$C$91</f>
        <v>58723</v>
      </c>
      <c r="BL19" s="1170">
        <f>Sacramento!$C$92</f>
        <v>144710</v>
      </c>
      <c r="BM19" s="1170">
        <f>Sacramento!$C$93</f>
        <v>134220</v>
      </c>
      <c r="BN19" s="1170">
        <f>Sacramento!$C$94</f>
        <v>216119</v>
      </c>
      <c r="BO19" s="1109">
        <f t="shared" si="2"/>
        <v>7293456</v>
      </c>
      <c r="BP19" s="1170">
        <f>Sacramento!$C$96</f>
        <v>0</v>
      </c>
      <c r="BQ19" s="1109">
        <f t="shared" si="10"/>
        <v>7293456</v>
      </c>
      <c r="BR19" s="1168">
        <f t="shared" si="11"/>
        <v>164249</v>
      </c>
      <c r="BS19" s="1171">
        <f>Sacramento!$E$104</f>
        <v>0</v>
      </c>
      <c r="BT19" s="1171">
        <f>Sacramento!$C$105</f>
        <v>10442</v>
      </c>
      <c r="BU19" s="1171">
        <f>Sacramento!$C$106</f>
        <v>4772</v>
      </c>
      <c r="BV19" s="1171">
        <f>Sacramento!$E$107</f>
        <v>35831</v>
      </c>
      <c r="BW19" s="1171">
        <f>Sacramento!$E$108</f>
        <v>28280</v>
      </c>
      <c r="BX19" s="1171">
        <f>Sacramento!$E$109</f>
        <v>29790</v>
      </c>
      <c r="BY19" s="1171">
        <f>Sacramento!$E$110</f>
        <v>55134</v>
      </c>
      <c r="BZ19" s="1168">
        <f t="shared" si="12"/>
        <v>33755</v>
      </c>
      <c r="CA19" s="1171">
        <f>Sacramento!$E$112</f>
        <v>5907</v>
      </c>
      <c r="CB19" s="1171">
        <f>Sacramento!$E$113</f>
        <v>27848</v>
      </c>
      <c r="CC19" s="1168">
        <f t="shared" si="13"/>
        <v>62041</v>
      </c>
      <c r="CD19" s="1168">
        <f t="shared" si="14"/>
        <v>38095</v>
      </c>
      <c r="CE19" s="1171">
        <f>Sacramento!$E$117</f>
        <v>1053</v>
      </c>
      <c r="CF19" s="1171">
        <f>Sacramento!$E$118</f>
        <v>37042</v>
      </c>
      <c r="CG19" s="1168">
        <f t="shared" si="15"/>
        <v>23946</v>
      </c>
      <c r="CH19" s="1171">
        <f>Sacramento!$E$120</f>
        <v>194</v>
      </c>
      <c r="CI19" s="1171">
        <f>Sacramento!$E$121</f>
        <v>23752</v>
      </c>
      <c r="CJ19" s="1171" t="str">
        <f>Sacramento!$E$122</f>
        <v>NA</v>
      </c>
      <c r="CK19" s="1168">
        <f t="shared" si="16"/>
        <v>29661</v>
      </c>
      <c r="CL19" s="1171">
        <f>Sacramento!$E$126</f>
        <v>12264</v>
      </c>
      <c r="CM19" s="1171">
        <f>Sacramento!$E$127</f>
        <v>17397</v>
      </c>
      <c r="CN19" s="1168">
        <f t="shared" si="17"/>
        <v>241860.5</v>
      </c>
      <c r="CO19" s="1171">
        <f>Sacramento!$E$130</f>
        <v>23400</v>
      </c>
      <c r="CP19" s="1171">
        <f>Sacramento!$E$131</f>
        <v>119490</v>
      </c>
      <c r="CQ19" s="1171">
        <f>Sacramento!$E$132</f>
        <v>6338.5</v>
      </c>
      <c r="CR19" s="1168">
        <f t="shared" si="18"/>
        <v>0</v>
      </c>
      <c r="CS19" s="1171">
        <f>Sacramento!$E$134</f>
        <v>0</v>
      </c>
      <c r="CT19" s="1171">
        <f>Sacramento!$E$135</f>
        <v>0</v>
      </c>
      <c r="CU19" s="1171">
        <f>Sacramento!$E$136</f>
        <v>0</v>
      </c>
      <c r="CV19" s="1171">
        <f>Sacramento!$E$138</f>
        <v>6</v>
      </c>
      <c r="CW19" s="1171">
        <f>Sacramento!$E$139</f>
        <v>2680</v>
      </c>
      <c r="CX19" s="1171">
        <f>Sacramento!$E$140</f>
        <v>107</v>
      </c>
      <c r="CY19" s="1171">
        <f>Sacramento!$E$141</f>
        <v>85677</v>
      </c>
      <c r="CZ19" s="1171">
        <f>Sacramento!$E$142</f>
        <v>3719</v>
      </c>
      <c r="DA19" s="1171">
        <f>Sacramento!$E$143</f>
        <v>443</v>
      </c>
      <c r="DB19" s="1168">
        <f t="shared" si="19"/>
        <v>3098774</v>
      </c>
      <c r="DC19" s="1171">
        <f>Sacramento!$C$148</f>
        <v>1782093</v>
      </c>
      <c r="DD19" s="1171">
        <f>Sacramento!$C$149</f>
        <v>1316681</v>
      </c>
      <c r="DE19" s="1168">
        <f t="shared" si="20"/>
        <v>0</v>
      </c>
      <c r="DF19" s="1171" t="str">
        <f>Sacramento!$C$151</f>
        <v>NA</v>
      </c>
      <c r="DG19" s="1171" t="str">
        <f>Sacramento!$C$152</f>
        <v>NA</v>
      </c>
      <c r="DH19" s="1168">
        <f t="shared" si="21"/>
        <v>306594</v>
      </c>
      <c r="DI19" s="1171">
        <f>Sacramento!$C$156</f>
        <v>135070</v>
      </c>
      <c r="DJ19" s="1171">
        <f>Sacramento!$C$157</f>
        <v>76985</v>
      </c>
      <c r="DK19" s="1171">
        <f>Sacramento!$C$158</f>
        <v>81451</v>
      </c>
      <c r="DL19" s="1168">
        <f t="shared" si="22"/>
        <v>2565</v>
      </c>
      <c r="DM19" s="1171">
        <f>Sacramento!$C$160</f>
        <v>150</v>
      </c>
      <c r="DN19" s="1171">
        <f>Sacramento!$C$161</f>
        <v>1336</v>
      </c>
      <c r="DO19" s="1171">
        <f>Sacramento!$C$162</f>
        <v>1079</v>
      </c>
      <c r="DP19" s="1168">
        <f t="shared" si="23"/>
        <v>94539</v>
      </c>
      <c r="DQ19" s="1171">
        <f>Sacramento!$C$164</f>
        <v>59206</v>
      </c>
      <c r="DR19" s="1171">
        <f>Sacramento!$C$165</f>
        <v>34558</v>
      </c>
      <c r="DS19" s="1171">
        <f>Sacramento!$C$166</f>
        <v>775</v>
      </c>
      <c r="DT19" s="1168">
        <f t="shared" si="24"/>
        <v>15467</v>
      </c>
      <c r="DU19" s="1171">
        <f>Sacramento!$C$169</f>
        <v>4903</v>
      </c>
      <c r="DV19" s="1171">
        <f>Sacramento!$C$170</f>
        <v>10564</v>
      </c>
      <c r="DW19" s="1168">
        <f t="shared" si="25"/>
        <v>15269</v>
      </c>
      <c r="DX19" s="1171">
        <f>Sacramento!$C$172</f>
        <v>6001</v>
      </c>
      <c r="DY19" s="1171">
        <f>Sacramento!$C$173</f>
        <v>587</v>
      </c>
      <c r="DZ19" s="1171">
        <f>Sacramento!$C$174</f>
        <v>8681</v>
      </c>
      <c r="EA19" s="1168">
        <f t="shared" si="26"/>
        <v>0</v>
      </c>
      <c r="EB19" s="1171" t="str">
        <f>Sacramento!$C$176</f>
        <v>NA</v>
      </c>
      <c r="EC19" s="1171" t="str">
        <f>Sacramento!$C$177</f>
        <v>NA</v>
      </c>
      <c r="ED19" s="1171" t="str">
        <f>Sacramento!$C$178</f>
        <v>NA</v>
      </c>
      <c r="EE19" s="1168">
        <f t="shared" si="27"/>
        <v>10870</v>
      </c>
      <c r="EF19" s="1171">
        <f>Sacramento!$C$181</f>
        <v>5506</v>
      </c>
      <c r="EG19" s="1171">
        <f>Sacramento!$C$182</f>
        <v>5364</v>
      </c>
      <c r="EH19" s="1168">
        <f t="shared" si="28"/>
        <v>10673</v>
      </c>
      <c r="EI19" s="1171">
        <f>Sacramento!$C$184</f>
        <v>4153</v>
      </c>
      <c r="EJ19" s="1171">
        <f>Sacramento!$C$185</f>
        <v>701</v>
      </c>
      <c r="EK19" s="1171">
        <f>Sacramento!$C$186</f>
        <v>5819</v>
      </c>
      <c r="EL19" s="1168">
        <f t="shared" si="29"/>
        <v>0</v>
      </c>
      <c r="EM19" s="1171" t="str">
        <f>Sacramento!$C$188</f>
        <v>NA</v>
      </c>
      <c r="EN19" s="1171" t="str">
        <f>Sacramento!$C$189</f>
        <v>NA</v>
      </c>
      <c r="EO19" s="1171" t="str">
        <f>Sacramento!$C$190</f>
        <v>NA</v>
      </c>
      <c r="EP19" s="1168">
        <f t="shared" si="30"/>
        <v>538</v>
      </c>
      <c r="EQ19" s="1171">
        <f>Sacramento!$C$195</f>
        <v>444</v>
      </c>
      <c r="ER19" s="1171">
        <f>Sacramento!$C$196</f>
        <v>34</v>
      </c>
      <c r="ES19" s="1171">
        <f>Sacramento!$C$197</f>
        <v>60</v>
      </c>
      <c r="ET19" s="1168">
        <f t="shared" si="31"/>
        <v>13711</v>
      </c>
      <c r="EU19" s="1171">
        <f>Sacramento!$C$199</f>
        <v>11396</v>
      </c>
      <c r="EV19" s="1171">
        <f>Sacramento!$C$200</f>
        <v>1115</v>
      </c>
      <c r="EW19" s="1171">
        <f>Sacramento!$C$201</f>
        <v>1200</v>
      </c>
      <c r="EX19" s="1171">
        <f>Sacramento!$C$203</f>
        <v>0</v>
      </c>
      <c r="EY19" s="1171">
        <f>Sacramento!$C$204</f>
        <v>0</v>
      </c>
      <c r="EZ19" s="1171">
        <f>Sacramento!$C$205</f>
        <v>871</v>
      </c>
      <c r="FA19" s="1171">
        <f>Sacramento!$C$206</f>
        <v>2673</v>
      </c>
      <c r="FB19" s="1171">
        <f>Sacramento!$C$207</f>
        <v>89</v>
      </c>
      <c r="FC19" s="1168">
        <f t="shared" si="32"/>
        <v>530</v>
      </c>
      <c r="FD19" s="1171">
        <f>Sacramento!$E$212</f>
        <v>271</v>
      </c>
      <c r="FE19" s="1171">
        <f>Sacramento!$E$213</f>
        <v>89</v>
      </c>
      <c r="FF19" s="1171">
        <f>Sacramento!$E$214</f>
        <v>70</v>
      </c>
      <c r="FG19" s="1171">
        <f>Sacramento!$E$215</f>
        <v>70</v>
      </c>
      <c r="FH19" s="1171">
        <f>Sacramento!$E$216</f>
        <v>0</v>
      </c>
      <c r="FI19" s="1171">
        <f>Sacramento!$E$217</f>
        <v>0</v>
      </c>
      <c r="FJ19" s="1171">
        <f>Sacramento!$E$218</f>
        <v>0</v>
      </c>
      <c r="FK19" s="1171">
        <f>Sacramento!$E$219</f>
        <v>0</v>
      </c>
      <c r="FL19" s="1171">
        <f>Sacramento!$E$220</f>
        <v>26</v>
      </c>
      <c r="FM19" s="1171">
        <f>Sacramento!$E$221</f>
        <v>4</v>
      </c>
      <c r="FN19" s="1171">
        <f>Sacramento!$E$222</f>
        <v>0</v>
      </c>
      <c r="FO19" s="1171">
        <f>Sacramento!$E$223</f>
        <v>0</v>
      </c>
      <c r="FP19" s="1171">
        <f>Sacramento!$E$224</f>
        <v>0</v>
      </c>
      <c r="FQ19" s="1171">
        <f>Sacramento!$E$225</f>
        <v>0</v>
      </c>
      <c r="FR19" s="1171">
        <f>Sacramento!$E$226</f>
        <v>0</v>
      </c>
      <c r="FS19" s="1171">
        <f>Sacramento!$E$227</f>
        <v>0</v>
      </c>
      <c r="FT19" s="1171" t="str">
        <f>Sacramento!$C$230</f>
        <v>unk</v>
      </c>
      <c r="FU19" s="1171">
        <f>Sacramento!$C$231</f>
        <v>0</v>
      </c>
      <c r="FV19" s="1171" t="str">
        <f>Sacramento!$C$232</f>
        <v>unk</v>
      </c>
      <c r="FW19" s="1171">
        <f>Sacramento!$C$233</f>
        <v>0</v>
      </c>
      <c r="FX19" s="1171" t="str">
        <f>Sacramento!$C$234</f>
        <v>unk</v>
      </c>
      <c r="FY19" s="1171" t="str">
        <f>Sacramento!$C$235</f>
        <v>unk</v>
      </c>
      <c r="FZ19" s="135"/>
      <c r="GA19" s="1147">
        <f>Sacramento!$C$239</f>
        <v>96.75</v>
      </c>
      <c r="GB19" s="1173" t="s">
        <v>400</v>
      </c>
      <c r="GC19" s="1171">
        <f>Sacramento!$C$241</f>
        <v>132</v>
      </c>
      <c r="GD19" s="1168">
        <f t="shared" si="33"/>
        <v>1358</v>
      </c>
      <c r="GE19" s="1171">
        <f>Sacramento!$G$246</f>
        <v>695</v>
      </c>
      <c r="GF19" s="1171">
        <f>Sacramento!$G$247</f>
        <v>29</v>
      </c>
      <c r="GG19" s="1171">
        <f>Sacramento!$G$248</f>
        <v>23</v>
      </c>
      <c r="GH19" s="1171">
        <f>Sacramento!$G$249</f>
        <v>156</v>
      </c>
      <c r="GI19" s="1171">
        <f>Sacramento!$G$250</f>
        <v>25</v>
      </c>
      <c r="GJ19" s="1181">
        <f>Sacramento!$G$251</f>
        <v>430</v>
      </c>
    </row>
    <row r="20" spans="1:192">
      <c r="A20" s="1095" t="s">
        <v>759</v>
      </c>
      <c r="B20" s="135">
        <f>San_Bernardino!$C$18</f>
        <v>0</v>
      </c>
      <c r="C20" s="135">
        <f>San_Bernardino!$C$19</f>
        <v>3</v>
      </c>
      <c r="D20" s="135">
        <f>San_Bernardino!$C$20</f>
        <v>11</v>
      </c>
      <c r="E20" s="135">
        <f>San_Bernardino!$C$21</f>
        <v>7</v>
      </c>
      <c r="F20" s="1165">
        <f>San_Bernardino!$C$22</f>
        <v>0</v>
      </c>
      <c r="G20" s="1166">
        <f>San_Bernardino!$C$26</f>
        <v>14</v>
      </c>
      <c r="H20" s="1166">
        <f>San_Bernardino!$C$27</f>
        <v>13</v>
      </c>
      <c r="I20" s="1166">
        <f>San_Bernardino!$C$28</f>
        <v>1</v>
      </c>
      <c r="J20" s="1166">
        <f>San_Bernardino!$C$29</f>
        <v>0</v>
      </c>
      <c r="K20" s="1166">
        <f>San_Bernardino!$C$30</f>
        <v>0</v>
      </c>
      <c r="L20" s="1166">
        <f>San_Bernardino!$C$32</f>
        <v>16</v>
      </c>
      <c r="M20" s="1166">
        <f>San_Bernardino!$C$33</f>
        <v>3</v>
      </c>
      <c r="N20" s="1166">
        <f>San_Bernardino!$C$34</f>
        <v>3</v>
      </c>
      <c r="O20" s="1166">
        <f>San_Bernardino!$C$35</f>
        <v>0</v>
      </c>
      <c r="P20" s="1166">
        <f>San_Bernardino!$C$36</f>
        <v>1</v>
      </c>
      <c r="Q20" s="1166">
        <f>San_Bernardino!$C$37</f>
        <v>33</v>
      </c>
      <c r="R20" s="1167">
        <f>San_Bernardino!$C$38</f>
        <v>0.21</v>
      </c>
      <c r="S20" s="1166">
        <f>San_Bernardino!$C$39</f>
        <v>69</v>
      </c>
      <c r="T20" s="1109">
        <f>San_Bernardino!$C$44</f>
        <v>935347.76</v>
      </c>
      <c r="U20" s="1109">
        <f>San_Bernardino!$C$45</f>
        <v>810086.31</v>
      </c>
      <c r="V20" s="1109">
        <f>San_Bernardino!$C$46</f>
        <v>125261.45</v>
      </c>
      <c r="W20" s="1109">
        <f>San_Bernardino!$C$47</f>
        <v>0</v>
      </c>
      <c r="X20" s="1109">
        <f>San_Bernardino!$C$48</f>
        <v>928936.24</v>
      </c>
      <c r="Y20" s="1109">
        <f>San_Bernardino!$C$49</f>
        <v>658127.24</v>
      </c>
      <c r="Z20" s="1109">
        <f>San_Bernardino!$C$50</f>
        <v>117361</v>
      </c>
      <c r="AA20" s="1109">
        <f>San_Bernardino!$C$51</f>
        <v>153448</v>
      </c>
      <c r="AB20" s="1109">
        <f t="shared" si="3"/>
        <v>1864284</v>
      </c>
      <c r="AC20" s="1109">
        <f>San_Bernardino!$C$52</f>
        <v>172991</v>
      </c>
      <c r="AD20" s="1109">
        <f t="shared" si="4"/>
        <v>2037275</v>
      </c>
      <c r="AE20" s="1109">
        <f t="shared" si="5"/>
        <v>181340.53</v>
      </c>
      <c r="AF20" s="1109">
        <f>San_Bernardino!$C$57</f>
        <v>78192</v>
      </c>
      <c r="AG20" s="1109">
        <f>San_Bernardino!$C$58</f>
        <v>6892</v>
      </c>
      <c r="AH20" s="1109">
        <f>San_Bernardino!$C$59</f>
        <v>96256.53</v>
      </c>
      <c r="AI20" s="1109">
        <f t="shared" si="6"/>
        <v>603507</v>
      </c>
      <c r="AJ20" s="1109">
        <f>San_Bernardino!$C$61</f>
        <v>251914</v>
      </c>
      <c r="AK20" s="1109">
        <f>San_Bernardino!$C$62</f>
        <v>328832</v>
      </c>
      <c r="AL20" s="1109">
        <f>San_Bernardino!$C$63</f>
        <v>35694.03</v>
      </c>
      <c r="AM20" s="1109">
        <f>San_Bernardino!$C$64</f>
        <v>20896</v>
      </c>
      <c r="AN20" s="1109">
        <f>San_Bernardino!$C$65</f>
        <v>870</v>
      </c>
      <c r="AO20" s="1109">
        <f>San_Bernardino!$C$66</f>
        <v>995</v>
      </c>
      <c r="AP20" s="1109">
        <f t="shared" si="0"/>
        <v>7744</v>
      </c>
      <c r="AQ20" s="1109">
        <f>San_Bernardino!$C$68</f>
        <v>2398</v>
      </c>
      <c r="AR20" s="1109">
        <f>San_Bernardino!$C$69</f>
        <v>5346</v>
      </c>
      <c r="AS20" s="1109">
        <f t="shared" si="7"/>
        <v>0</v>
      </c>
      <c r="AT20" s="1109">
        <f>San_Bernardino!$C$71</f>
        <v>0</v>
      </c>
      <c r="AU20" s="1109">
        <f>San_Bernardino!$C$72</f>
        <v>0</v>
      </c>
      <c r="AV20" s="1109">
        <f>San_Bernardino!$C$73</f>
        <v>0</v>
      </c>
      <c r="AW20" s="1109">
        <f>San_Bernardino!$C$74</f>
        <v>0</v>
      </c>
      <c r="AX20" s="1109">
        <f>San_Bernardino!$C$75</f>
        <v>0</v>
      </c>
      <c r="AY20" s="1109">
        <f t="shared" si="1"/>
        <v>792591.53</v>
      </c>
      <c r="AZ20" s="1109">
        <f t="shared" si="8"/>
        <v>5758.2800000000007</v>
      </c>
      <c r="BA20" s="1109">
        <f>San_Bernardino!$C$81</f>
        <v>3000</v>
      </c>
      <c r="BB20" s="1109">
        <f>San_Bernardino!$C$82</f>
        <v>40</v>
      </c>
      <c r="BC20" s="1109">
        <f>San_Bernardino!$C$83</f>
        <v>160</v>
      </c>
      <c r="BD20" s="1109">
        <f>San_Bernardino!$C$84</f>
        <v>0</v>
      </c>
      <c r="BE20" s="1109">
        <f>San_Bernardino!$C$85</f>
        <v>2558.2800000000002</v>
      </c>
      <c r="BF20" s="1109">
        <f>San_Bernardino!$C$86</f>
        <v>0</v>
      </c>
      <c r="BG20" s="1109">
        <f t="shared" si="9"/>
        <v>12415.38</v>
      </c>
      <c r="BH20" s="1109">
        <f>San_Bernardino!$C$88</f>
        <v>1728.41</v>
      </c>
      <c r="BI20" s="1109">
        <f>San_Bernardino!$C$89</f>
        <v>10686.97</v>
      </c>
      <c r="BJ20" s="1109">
        <f>San_Bernardino!$C$90</f>
        <v>0</v>
      </c>
      <c r="BK20" s="1109">
        <f>San_Bernardino!$C$91</f>
        <v>62054.32</v>
      </c>
      <c r="BL20" s="1109">
        <f>San_Bernardino!$C$92</f>
        <v>149636.29999999999</v>
      </c>
      <c r="BM20" s="1109">
        <f>San_Bernardino!$C$93</f>
        <v>97970.15</v>
      </c>
      <c r="BN20" s="1109">
        <f>San_Bernardino!$C$94</f>
        <v>173375.85</v>
      </c>
      <c r="BO20" s="1109">
        <f t="shared" si="2"/>
        <v>3331076.8099999996</v>
      </c>
      <c r="BP20" s="1109">
        <f>San_Bernardino!$C$96</f>
        <v>0</v>
      </c>
      <c r="BQ20" s="1109">
        <f t="shared" si="10"/>
        <v>3331076.8099999996</v>
      </c>
      <c r="BR20" s="1168">
        <f t="shared" si="11"/>
        <v>725810</v>
      </c>
      <c r="BS20" s="1168">
        <f>San_Bernardino!$E$104</f>
        <v>682907</v>
      </c>
      <c r="BT20" s="1168">
        <f>San_Bernardino!$C$105</f>
        <v>3160</v>
      </c>
      <c r="BU20" s="1168">
        <f>San_Bernardino!$C$106</f>
        <v>1397</v>
      </c>
      <c r="BV20" s="1168">
        <f>San_Bernardino!$E$107</f>
        <v>6645</v>
      </c>
      <c r="BW20" s="1168">
        <f>San_Bernardino!$E$108</f>
        <v>24173</v>
      </c>
      <c r="BX20" s="1168">
        <f>San_Bernardino!$E$109</f>
        <v>7528</v>
      </c>
      <c r="BY20" s="1168" t="str">
        <f>San_Bernardino!$E$110</f>
        <v>UNK</v>
      </c>
      <c r="BZ20" s="1168">
        <f t="shared" si="12"/>
        <v>0</v>
      </c>
      <c r="CA20" s="1168">
        <f>San_Bernardino!$E$112</f>
        <v>0</v>
      </c>
      <c r="CB20" s="1168">
        <f>San_Bernardino!$E$113</f>
        <v>0</v>
      </c>
      <c r="CC20" s="1168">
        <f t="shared" si="13"/>
        <v>0</v>
      </c>
      <c r="CD20" s="1168">
        <f t="shared" si="14"/>
        <v>0</v>
      </c>
      <c r="CE20" s="1168">
        <f>San_Bernardino!$E$117</f>
        <v>0</v>
      </c>
      <c r="CF20" s="1168">
        <f>San_Bernardino!$E$118</f>
        <v>0</v>
      </c>
      <c r="CG20" s="1168">
        <f t="shared" si="15"/>
        <v>0</v>
      </c>
      <c r="CH20" s="1168">
        <f>San_Bernardino!$E$120</f>
        <v>0</v>
      </c>
      <c r="CI20" s="1168">
        <f>San_Bernardino!$E$121</f>
        <v>0</v>
      </c>
      <c r="CJ20" s="1168">
        <f>San_Bernardino!$E$122</f>
        <v>0</v>
      </c>
      <c r="CK20" s="1168">
        <f t="shared" si="16"/>
        <v>17273</v>
      </c>
      <c r="CL20" s="1168">
        <f>San_Bernardino!$E$126</f>
        <v>10932</v>
      </c>
      <c r="CM20" s="1168">
        <f>San_Bernardino!$E$127</f>
        <v>6341</v>
      </c>
      <c r="CN20" s="1168">
        <f t="shared" si="17"/>
        <v>19038</v>
      </c>
      <c r="CO20" s="1168">
        <f>San_Bernardino!$E$130</f>
        <v>16274</v>
      </c>
      <c r="CP20" s="1168">
        <f>San_Bernardino!$E$131</f>
        <v>435</v>
      </c>
      <c r="CQ20" s="1168">
        <f>San_Bernardino!$E$132</f>
        <v>0</v>
      </c>
      <c r="CR20" s="1168">
        <f t="shared" si="18"/>
        <v>0</v>
      </c>
      <c r="CS20" s="1168" t="str">
        <f>San_Bernardino!$E$134</f>
        <v>UNK</v>
      </c>
      <c r="CT20" s="1168" t="str">
        <f>San_Bernardino!$E$135</f>
        <v>UNK</v>
      </c>
      <c r="CU20" s="1168" t="str">
        <f>San_Bernardino!$E$136</f>
        <v>NA</v>
      </c>
      <c r="CV20" s="1168">
        <f>San_Bernardino!$E$138</f>
        <v>0</v>
      </c>
      <c r="CW20" s="1168">
        <f>San_Bernardino!$E$139</f>
        <v>0</v>
      </c>
      <c r="CX20" s="1168">
        <f>San_Bernardino!$E$140</f>
        <v>0</v>
      </c>
      <c r="CY20" s="1168" t="str">
        <f>San_Bernardino!$E$141</f>
        <v>***</v>
      </c>
      <c r="CZ20" s="1168">
        <f>San_Bernardino!$E$142</f>
        <v>2329</v>
      </c>
      <c r="DA20" s="1168">
        <f>San_Bernardino!$E$143</f>
        <v>0</v>
      </c>
      <c r="DB20" s="1168">
        <f t="shared" si="19"/>
        <v>669980</v>
      </c>
      <c r="DC20" s="1168">
        <f>San_Bernardino!$C$148</f>
        <v>590989</v>
      </c>
      <c r="DD20" s="1168">
        <f>San_Bernardino!$C$149</f>
        <v>78991</v>
      </c>
      <c r="DE20" s="1168">
        <f t="shared" si="20"/>
        <v>2528376</v>
      </c>
      <c r="DF20" s="1168">
        <f>San_Bernardino!$C$151</f>
        <v>629367</v>
      </c>
      <c r="DG20" s="1168">
        <f>San_Bernardino!$C$152</f>
        <v>1899009</v>
      </c>
      <c r="DH20" s="1168">
        <f t="shared" si="21"/>
        <v>127529</v>
      </c>
      <c r="DI20" s="1168">
        <f>San_Bernardino!$C$156</f>
        <v>54511</v>
      </c>
      <c r="DJ20" s="1168">
        <f>San_Bernardino!$C$157</f>
        <v>17284</v>
      </c>
      <c r="DK20" s="1168">
        <f>San_Bernardino!$C$158</f>
        <v>31371</v>
      </c>
      <c r="DL20" s="1168">
        <f t="shared" si="22"/>
        <v>1459</v>
      </c>
      <c r="DM20" s="1168">
        <f>San_Bernardino!$C$160</f>
        <v>141</v>
      </c>
      <c r="DN20" s="1168">
        <f>San_Bernardino!$C$161</f>
        <v>811</v>
      </c>
      <c r="DO20" s="1168">
        <f>San_Bernardino!$C$162</f>
        <v>507</v>
      </c>
      <c r="DP20" s="1168">
        <f t="shared" si="23"/>
        <v>55734</v>
      </c>
      <c r="DQ20" s="1168">
        <f>San_Bernardino!$C$164</f>
        <v>26150</v>
      </c>
      <c r="DR20" s="1168">
        <f>San_Bernardino!$C$165</f>
        <v>29209</v>
      </c>
      <c r="DS20" s="1168">
        <f>San_Bernardino!$C$166</f>
        <v>375</v>
      </c>
      <c r="DT20" s="1168">
        <f t="shared" si="24"/>
        <v>5326</v>
      </c>
      <c r="DU20" s="1168">
        <f>San_Bernardino!$C$169</f>
        <v>3290</v>
      </c>
      <c r="DV20" s="1168">
        <f>San_Bernardino!$C$170</f>
        <v>2036</v>
      </c>
      <c r="DW20" s="1168">
        <f t="shared" si="25"/>
        <v>5326</v>
      </c>
      <c r="DX20" s="1168">
        <f>San_Bernardino!$C$172</f>
        <v>2437</v>
      </c>
      <c r="DY20" s="1168">
        <f>San_Bernardino!$C$173</f>
        <v>337</v>
      </c>
      <c r="DZ20" s="1168">
        <f>San_Bernardino!$C$174</f>
        <v>2552</v>
      </c>
      <c r="EA20" s="1168">
        <f t="shared" si="26"/>
        <v>0</v>
      </c>
      <c r="EB20" s="1168">
        <f>San_Bernardino!$C$176</f>
        <v>0</v>
      </c>
      <c r="EC20" s="1168">
        <f>San_Bernardino!$C$177</f>
        <v>0</v>
      </c>
      <c r="ED20" s="1168">
        <f>San_Bernardino!$C$178</f>
        <v>0</v>
      </c>
      <c r="EE20" s="1168">
        <f t="shared" si="27"/>
        <v>5607</v>
      </c>
      <c r="EF20" s="1168">
        <f>San_Bernardino!$C$181</f>
        <v>1960</v>
      </c>
      <c r="EG20" s="1168">
        <f>San_Bernardino!$C$182</f>
        <v>3647</v>
      </c>
      <c r="EH20" s="1168">
        <f t="shared" si="28"/>
        <v>5607</v>
      </c>
      <c r="EI20" s="1168">
        <f>San_Bernardino!$C$184</f>
        <v>2791</v>
      </c>
      <c r="EJ20" s="1168">
        <f>San_Bernardino!$C$185</f>
        <v>143</v>
      </c>
      <c r="EK20" s="1168">
        <f>San_Bernardino!$C$186</f>
        <v>2673</v>
      </c>
      <c r="EL20" s="1168">
        <f t="shared" si="29"/>
        <v>0</v>
      </c>
      <c r="EM20" s="1168">
        <f>San_Bernardino!$C$188</f>
        <v>0</v>
      </c>
      <c r="EN20" s="1168">
        <f>San_Bernardino!$C$189</f>
        <v>0</v>
      </c>
      <c r="EO20" s="1168">
        <f>San_Bernardino!$C$190</f>
        <v>0</v>
      </c>
      <c r="EP20" s="1168">
        <f t="shared" si="30"/>
        <v>130</v>
      </c>
      <c r="EQ20" s="1168">
        <f>San_Bernardino!$C$195</f>
        <v>99</v>
      </c>
      <c r="ER20" s="1168">
        <f>San_Bernardino!$C$196</f>
        <v>0</v>
      </c>
      <c r="ES20" s="1168">
        <f>San_Bernardino!$C$197</f>
        <v>31</v>
      </c>
      <c r="ET20" s="1168">
        <f t="shared" si="31"/>
        <v>3385</v>
      </c>
      <c r="EU20" s="1168">
        <f>San_Bernardino!$C$199</f>
        <v>2705</v>
      </c>
      <c r="EV20" s="1168">
        <f>San_Bernardino!$C$200</f>
        <v>0</v>
      </c>
      <c r="EW20" s="1168">
        <f>San_Bernardino!$C$201</f>
        <v>680</v>
      </c>
      <c r="EX20" s="1168">
        <f>San_Bernardino!$C$203</f>
        <v>0</v>
      </c>
      <c r="EY20" s="1168">
        <f>San_Bernardino!$C$204</f>
        <v>0</v>
      </c>
      <c r="EZ20" s="1168">
        <f>San_Bernardino!$C$205</f>
        <v>10</v>
      </c>
      <c r="FA20" s="1168">
        <f>San_Bernardino!$C$206</f>
        <v>3300</v>
      </c>
      <c r="FB20" s="1168">
        <f>San_Bernardino!$C$207</f>
        <v>34</v>
      </c>
      <c r="FC20" s="1168">
        <f t="shared" si="32"/>
        <v>188</v>
      </c>
      <c r="FD20" s="1168">
        <f>San_Bernardino!$E$212</f>
        <v>79</v>
      </c>
      <c r="FE20" s="1168">
        <f>San_Bernardino!$E$213</f>
        <v>0</v>
      </c>
      <c r="FF20" s="1168">
        <f>San_Bernardino!$E$214</f>
        <v>6</v>
      </c>
      <c r="FG20" s="1168">
        <f>San_Bernardino!$E$215</f>
        <v>0</v>
      </c>
      <c r="FH20" s="1168">
        <f>San_Bernardino!$E$216</f>
        <v>0</v>
      </c>
      <c r="FI20" s="1168">
        <f>San_Bernardino!$E$217</f>
        <v>0</v>
      </c>
      <c r="FJ20" s="1168">
        <f>San_Bernardino!$E$218</f>
        <v>1</v>
      </c>
      <c r="FK20" s="1168">
        <f>San_Bernardino!$E$219</f>
        <v>0</v>
      </c>
      <c r="FL20" s="1168">
        <f>San_Bernardino!$E$220</f>
        <v>52</v>
      </c>
      <c r="FM20" s="1168">
        <f>San_Bernardino!$E$221</f>
        <v>0</v>
      </c>
      <c r="FN20" s="1168">
        <f>San_Bernardino!$E$222</f>
        <v>1</v>
      </c>
      <c r="FO20" s="1168">
        <f>San_Bernardino!$E$223</f>
        <v>0</v>
      </c>
      <c r="FP20" s="1168">
        <f>San_Bernardino!$E$224</f>
        <v>48</v>
      </c>
      <c r="FQ20" s="1168">
        <f>San_Bernardino!$E$225</f>
        <v>0</v>
      </c>
      <c r="FR20" s="1168">
        <f>San_Bernardino!$E$226</f>
        <v>1</v>
      </c>
      <c r="FS20" s="1168">
        <f>San_Bernardino!$E$227</f>
        <v>0</v>
      </c>
      <c r="FT20" s="1168" t="str">
        <f>San_Bernardino!$C$230</f>
        <v>UNK</v>
      </c>
      <c r="FU20" s="1168">
        <f>San_Bernardino!$C$231</f>
        <v>0</v>
      </c>
      <c r="FV20" s="1168" t="str">
        <f>San_Bernardino!$C$232</f>
        <v>UNK</v>
      </c>
      <c r="FW20" s="1168">
        <f>San_Bernardino!$C$233</f>
        <v>0</v>
      </c>
      <c r="FX20" s="1168" t="str">
        <f>San_Bernardino!$C$234</f>
        <v>UNK</v>
      </c>
      <c r="FY20" s="1168">
        <f>San_Bernardino!$C$235</f>
        <v>0</v>
      </c>
      <c r="FZ20" s="135"/>
      <c r="GA20" s="1146">
        <f>San_Bernardino!$C$239</f>
        <v>121</v>
      </c>
      <c r="GB20" s="1168">
        <f>San_Bernardino!$C$240</f>
        <v>4257</v>
      </c>
      <c r="GC20" s="1168">
        <f>San_Bernardino!$C$241</f>
        <v>75</v>
      </c>
      <c r="GD20" s="1168">
        <f t="shared" si="33"/>
        <v>0</v>
      </c>
      <c r="GE20" s="1168">
        <f>San_Bernardino!$G$246</f>
        <v>0</v>
      </c>
      <c r="GF20" s="1168">
        <f>San_Bernardino!$G$247</f>
        <v>0</v>
      </c>
      <c r="GG20" s="1168">
        <f>San_Bernardino!$G$248</f>
        <v>0</v>
      </c>
      <c r="GH20" s="1168">
        <f>San_Bernardino!$G$249</f>
        <v>0</v>
      </c>
      <c r="GI20" s="1168">
        <f>San_Bernardino!$G$250</f>
        <v>0</v>
      </c>
      <c r="GJ20" s="1180">
        <f>San_Bernardino!$G$251</f>
        <v>0</v>
      </c>
    </row>
    <row r="21" spans="1:192">
      <c r="A21" s="1095" t="s">
        <v>688</v>
      </c>
      <c r="B21" s="135">
        <f>San_Diego!$C$18</f>
        <v>1</v>
      </c>
      <c r="C21" s="135">
        <f>San_Diego!$C$19</f>
        <v>7</v>
      </c>
      <c r="D21" s="135">
        <f>San_Diego!$C$20</f>
        <v>42</v>
      </c>
      <c r="E21" s="135">
        <f>San_Diego!$C$21</f>
        <v>9</v>
      </c>
      <c r="F21" s="1165">
        <f>San_Diego!$C$22</f>
        <v>8</v>
      </c>
      <c r="G21" s="1166">
        <f>San_Diego!$C$26</f>
        <v>31.09</v>
      </c>
      <c r="H21" s="1166">
        <f>San_Diego!$C$27</f>
        <v>27.34</v>
      </c>
      <c r="I21" s="1166">
        <f>San_Diego!$C$28</f>
        <v>2</v>
      </c>
      <c r="J21" s="1166">
        <f>San_Diego!$C$29</f>
        <v>1.75</v>
      </c>
      <c r="K21" s="1166">
        <f>San_Diego!$C$30</f>
        <v>0</v>
      </c>
      <c r="L21" s="1166">
        <f>San_Diego!$C$32</f>
        <v>30.22</v>
      </c>
      <c r="M21" s="1166">
        <f>San_Diego!$C$33</f>
        <v>8.75</v>
      </c>
      <c r="N21" s="1166">
        <f>San_Diego!$C$34</f>
        <v>11.25</v>
      </c>
      <c r="O21" s="1166">
        <f>San_Diego!$C$35</f>
        <v>2</v>
      </c>
      <c r="P21" s="1166">
        <f>San_Diego!$C$36</f>
        <v>4.5</v>
      </c>
      <c r="Q21" s="1166">
        <f>San_Diego!$C$37</f>
        <v>43.39</v>
      </c>
      <c r="R21" s="1167">
        <f>San_Diego!$C$38</f>
        <v>0.18</v>
      </c>
      <c r="S21" s="1166">
        <f>San_Diego!$C$39</f>
        <v>126.7</v>
      </c>
      <c r="T21" s="1109">
        <f>San_Diego!$C$44</f>
        <v>2523090</v>
      </c>
      <c r="U21" s="1109">
        <f>San_Diego!$C$45</f>
        <v>2135164</v>
      </c>
      <c r="V21" s="1109">
        <f>San_Diego!$C$46</f>
        <v>387926</v>
      </c>
      <c r="W21" s="1109">
        <f>San_Diego!$C$47</f>
        <v>0</v>
      </c>
      <c r="X21" s="1109">
        <f>San_Diego!$C$48</f>
        <v>2279957</v>
      </c>
      <c r="Y21" s="1109">
        <f>San_Diego!$C$49</f>
        <v>1251544</v>
      </c>
      <c r="Z21" s="1109">
        <f>San_Diego!$C$50</f>
        <v>374166</v>
      </c>
      <c r="AA21" s="1109">
        <f>San_Diego!$C$51</f>
        <v>654247</v>
      </c>
      <c r="AB21" s="1109">
        <f t="shared" si="3"/>
        <v>4803047</v>
      </c>
      <c r="AC21" s="1109">
        <f>San_Diego!$C$52</f>
        <v>710947.7</v>
      </c>
      <c r="AD21" s="1109">
        <f t="shared" si="4"/>
        <v>5513994.7000000002</v>
      </c>
      <c r="AE21" s="1109">
        <f t="shared" si="5"/>
        <v>575828.44999999995</v>
      </c>
      <c r="AF21" s="1109">
        <f>San_Diego!$C$57</f>
        <v>427770.45</v>
      </c>
      <c r="AG21" s="1109">
        <f>San_Diego!$C$58</f>
        <v>3743</v>
      </c>
      <c r="AH21" s="1109">
        <f>San_Diego!$C$59</f>
        <v>144315</v>
      </c>
      <c r="AI21" s="1109">
        <f t="shared" si="6"/>
        <v>1865382.44</v>
      </c>
      <c r="AJ21" s="1109">
        <f>San_Diego!$C$61</f>
        <v>256751</v>
      </c>
      <c r="AK21" s="1109">
        <f>San_Diego!$C$62</f>
        <v>1577587</v>
      </c>
      <c r="AL21" s="1109">
        <f>San_Diego!$C$63</f>
        <v>209183</v>
      </c>
      <c r="AM21" s="1109">
        <f>San_Diego!$C$64</f>
        <v>23712.44</v>
      </c>
      <c r="AN21" s="1109">
        <f>San_Diego!$C$65</f>
        <v>7332</v>
      </c>
      <c r="AO21" s="1109">
        <f>San_Diego!$C$66</f>
        <v>0</v>
      </c>
      <c r="AP21" s="1109">
        <f t="shared" si="0"/>
        <v>30396.73</v>
      </c>
      <c r="AQ21" s="1109">
        <f>San_Diego!$C$68</f>
        <v>136</v>
      </c>
      <c r="AR21" s="1109">
        <f>San_Diego!$C$69</f>
        <v>30260.73</v>
      </c>
      <c r="AS21" s="1109">
        <f t="shared" si="7"/>
        <v>0</v>
      </c>
      <c r="AT21" s="1109">
        <f>San_Diego!$C$71</f>
        <v>0</v>
      </c>
      <c r="AU21" s="1109">
        <f>San_Diego!$C$72</f>
        <v>0</v>
      </c>
      <c r="AV21" s="1109">
        <f>San_Diego!$C$73</f>
        <v>0</v>
      </c>
      <c r="AW21" s="1109">
        <f>San_Diego!$C$74</f>
        <v>0</v>
      </c>
      <c r="AX21" s="1109">
        <f>San_Diego!$C$75</f>
        <v>0</v>
      </c>
      <c r="AY21" s="1109">
        <f t="shared" si="1"/>
        <v>2471607.6199999996</v>
      </c>
      <c r="AZ21" s="1109">
        <f t="shared" si="8"/>
        <v>223125.36</v>
      </c>
      <c r="BA21" s="1109">
        <f>San_Diego!$C$81</f>
        <v>38669</v>
      </c>
      <c r="BB21" s="1109">
        <f>San_Diego!$C$82</f>
        <v>54655.22</v>
      </c>
      <c r="BC21" s="1109">
        <f>San_Diego!$C$83</f>
        <v>98952.84</v>
      </c>
      <c r="BD21" s="1109">
        <f>San_Diego!$C$84</f>
        <v>0</v>
      </c>
      <c r="BE21" s="1109">
        <f>San_Diego!$C$85</f>
        <v>30848.3</v>
      </c>
      <c r="BF21" s="1109">
        <f>San_Diego!$C$86</f>
        <v>131668</v>
      </c>
      <c r="BG21" s="1109">
        <f t="shared" si="9"/>
        <v>69841.049999999988</v>
      </c>
      <c r="BH21" s="1109">
        <f>San_Diego!$C$88</f>
        <v>25496.2</v>
      </c>
      <c r="BI21" s="1109">
        <f>San_Diego!$C$89</f>
        <v>13000</v>
      </c>
      <c r="BJ21" s="1109">
        <f>San_Diego!$C$90</f>
        <v>31344.85</v>
      </c>
      <c r="BK21" s="1109">
        <f>San_Diego!$C$91</f>
        <v>133741.81</v>
      </c>
      <c r="BL21" s="1109">
        <f>San_Diego!$C$92</f>
        <v>926639.23</v>
      </c>
      <c r="BM21" s="1109">
        <f>San_Diego!$C$93</f>
        <v>142810.09</v>
      </c>
      <c r="BN21" s="1109">
        <f>San_Diego!$C$94</f>
        <v>657920.25</v>
      </c>
      <c r="BO21" s="1109">
        <f t="shared" si="2"/>
        <v>10271348.110000001</v>
      </c>
      <c r="BP21" s="1109">
        <f>San_Diego!$C$96</f>
        <v>2400824</v>
      </c>
      <c r="BQ21" s="1109">
        <f t="shared" si="10"/>
        <v>12672172.110000001</v>
      </c>
      <c r="BR21" s="1168">
        <f t="shared" si="11"/>
        <v>2226852</v>
      </c>
      <c r="BS21" s="1168">
        <f>San_Diego!$E$104</f>
        <v>1424693</v>
      </c>
      <c r="BT21" s="1168">
        <f>San_Diego!$C$105</f>
        <v>7258</v>
      </c>
      <c r="BU21" s="1168">
        <f>San_Diego!$C$106</f>
        <v>1965</v>
      </c>
      <c r="BV21" s="1168">
        <f>San_Diego!$E$107</f>
        <v>309088</v>
      </c>
      <c r="BW21" s="1168">
        <f>San_Diego!$E$108</f>
        <v>27638</v>
      </c>
      <c r="BX21" s="1168">
        <f>San_Diego!$E$109</f>
        <v>178</v>
      </c>
      <c r="BY21" s="1168">
        <f>San_Diego!$E$110</f>
        <v>456032</v>
      </c>
      <c r="BZ21" s="1168">
        <f t="shared" si="12"/>
        <v>121574</v>
      </c>
      <c r="CA21" s="1168">
        <f>San_Diego!$E$112</f>
        <v>46864</v>
      </c>
      <c r="CB21" s="1168">
        <f>San_Diego!$E$113</f>
        <v>74710</v>
      </c>
      <c r="CC21" s="1168">
        <f t="shared" si="13"/>
        <v>77214</v>
      </c>
      <c r="CD21" s="1168">
        <f t="shared" si="14"/>
        <v>56195</v>
      </c>
      <c r="CE21" s="1168">
        <f>San_Diego!$E$117</f>
        <v>1279</v>
      </c>
      <c r="CF21" s="1168">
        <f>San_Diego!$E$118</f>
        <v>54916</v>
      </c>
      <c r="CG21" s="1168">
        <f t="shared" si="15"/>
        <v>21019</v>
      </c>
      <c r="CH21" s="1168">
        <f>San_Diego!$E$120</f>
        <v>162</v>
      </c>
      <c r="CI21" s="1168">
        <f>San_Diego!$E$121</f>
        <v>9171</v>
      </c>
      <c r="CJ21" s="1168">
        <f>San_Diego!$E$122</f>
        <v>11686</v>
      </c>
      <c r="CK21" s="1168">
        <f t="shared" si="16"/>
        <v>36043</v>
      </c>
      <c r="CL21" s="1168">
        <f>San_Diego!$E$126</f>
        <v>22462</v>
      </c>
      <c r="CM21" s="1168">
        <f>San_Diego!$E$127</f>
        <v>13581</v>
      </c>
      <c r="CN21" s="1168">
        <f t="shared" si="17"/>
        <v>9651746.3300000001</v>
      </c>
      <c r="CO21" s="1168">
        <f>San_Diego!$E$130</f>
        <v>142241</v>
      </c>
      <c r="CP21" s="1168">
        <f>San_Diego!$E$131</f>
        <v>11785</v>
      </c>
      <c r="CQ21" s="1168">
        <f>San_Diego!$E$132</f>
        <v>6978.33</v>
      </c>
      <c r="CR21" s="1168">
        <f t="shared" si="18"/>
        <v>4645583</v>
      </c>
      <c r="CS21" s="1168">
        <f>San_Diego!$E$134</f>
        <v>4640164</v>
      </c>
      <c r="CT21" s="1168">
        <f>San_Diego!$E$135</f>
        <v>5419</v>
      </c>
      <c r="CU21" s="1168">
        <f>San_Diego!$E$136</f>
        <v>159019</v>
      </c>
      <c r="CV21" s="1168">
        <f>San_Diego!$E$138</f>
        <v>9</v>
      </c>
      <c r="CW21" s="1168">
        <f>San_Diego!$E$139</f>
        <v>34000</v>
      </c>
      <c r="CX21" s="1168">
        <f>San_Diego!$E$140</f>
        <v>750</v>
      </c>
      <c r="CY21" s="1168" t="str">
        <f>San_Diego!$E$141</f>
        <v>***</v>
      </c>
      <c r="CZ21" s="1168">
        <f>San_Diego!$E$142</f>
        <v>4859</v>
      </c>
      <c r="DA21" s="1168">
        <f>San_Diego!$E$143</f>
        <v>939</v>
      </c>
      <c r="DB21" s="1168">
        <f t="shared" si="19"/>
        <v>4315466</v>
      </c>
      <c r="DC21" s="1168">
        <f>San_Diego!$C$148</f>
        <v>2091678</v>
      </c>
      <c r="DD21" s="1168">
        <f>San_Diego!$C$149</f>
        <v>2223788</v>
      </c>
      <c r="DE21" s="1168">
        <f t="shared" si="20"/>
        <v>2465338</v>
      </c>
      <c r="DF21" s="1168">
        <f>San_Diego!$C$151</f>
        <v>793198</v>
      </c>
      <c r="DG21" s="1168">
        <f>San_Diego!$C$152</f>
        <v>1672140</v>
      </c>
      <c r="DH21" s="1168">
        <f t="shared" si="21"/>
        <v>488802</v>
      </c>
      <c r="DI21" s="1168">
        <f>San_Diego!$C$156</f>
        <v>197447</v>
      </c>
      <c r="DJ21" s="1168">
        <f>San_Diego!$C$157</f>
        <v>62095</v>
      </c>
      <c r="DK21" s="1168">
        <f>San_Diego!$C$158</f>
        <v>152918</v>
      </c>
      <c r="DL21" s="1168">
        <f t="shared" si="22"/>
        <v>2150</v>
      </c>
      <c r="DM21" s="1168">
        <f>San_Diego!$C$160</f>
        <v>220</v>
      </c>
      <c r="DN21" s="1168">
        <f>San_Diego!$C$161</f>
        <v>1925</v>
      </c>
      <c r="DO21" s="1168">
        <f>San_Diego!$C$162</f>
        <v>5</v>
      </c>
      <c r="DP21" s="1168">
        <f t="shared" si="23"/>
        <v>229260</v>
      </c>
      <c r="DQ21" s="1168">
        <f>San_Diego!$C$164</f>
        <v>38375</v>
      </c>
      <c r="DR21" s="1168">
        <f>San_Diego!$C$165</f>
        <v>181267</v>
      </c>
      <c r="DS21" s="1168">
        <f>San_Diego!$C$166</f>
        <v>9618</v>
      </c>
      <c r="DT21" s="1168">
        <f t="shared" si="24"/>
        <v>15301</v>
      </c>
      <c r="DU21" s="1168">
        <f>San_Diego!$C$169</f>
        <v>8082</v>
      </c>
      <c r="DV21" s="1168">
        <f>San_Diego!$C$170</f>
        <v>7219</v>
      </c>
      <c r="DW21" s="1168">
        <f t="shared" si="25"/>
        <v>15301</v>
      </c>
      <c r="DX21" s="1168">
        <f>San_Diego!$C$172</f>
        <v>7121</v>
      </c>
      <c r="DY21" s="1168">
        <f>San_Diego!$C$173</f>
        <v>1399</v>
      </c>
      <c r="DZ21" s="1168">
        <f>San_Diego!$C$174</f>
        <v>6781</v>
      </c>
      <c r="EA21" s="1168">
        <f t="shared" si="26"/>
        <v>28940</v>
      </c>
      <c r="EB21" s="1168">
        <f>San_Diego!$C$176</f>
        <v>6041</v>
      </c>
      <c r="EC21" s="1168">
        <f>San_Diego!$C$177</f>
        <v>4159</v>
      </c>
      <c r="ED21" s="1168">
        <f>San_Diego!$C$178</f>
        <v>18740</v>
      </c>
      <c r="EE21" s="1168">
        <f t="shared" si="27"/>
        <v>13927</v>
      </c>
      <c r="EF21" s="1168">
        <f>San_Diego!$C$181</f>
        <v>1492</v>
      </c>
      <c r="EG21" s="1168">
        <f>San_Diego!$C$182</f>
        <v>12435</v>
      </c>
      <c r="EH21" s="1168">
        <f t="shared" si="28"/>
        <v>13927</v>
      </c>
      <c r="EI21" s="1168">
        <f>San_Diego!$C$184</f>
        <v>4098</v>
      </c>
      <c r="EJ21" s="1168">
        <f>San_Diego!$C$185</f>
        <v>947</v>
      </c>
      <c r="EK21" s="1168">
        <f>San_Diego!$C$186</f>
        <v>8882</v>
      </c>
      <c r="EL21" s="1168">
        <f t="shared" si="29"/>
        <v>13942</v>
      </c>
      <c r="EM21" s="1168">
        <f>San_Diego!$C$188</f>
        <v>2739</v>
      </c>
      <c r="EN21" s="1168">
        <f>San_Diego!$C$189</f>
        <v>3864</v>
      </c>
      <c r="EO21" s="1168">
        <f>San_Diego!$C$190</f>
        <v>7339</v>
      </c>
      <c r="EP21" s="1168">
        <f t="shared" si="30"/>
        <v>605</v>
      </c>
      <c r="EQ21" s="1168">
        <f>San_Diego!$C$195</f>
        <v>280</v>
      </c>
      <c r="ER21" s="1168">
        <f>San_Diego!$C$196</f>
        <v>268</v>
      </c>
      <c r="ES21" s="1168">
        <f>San_Diego!$C$197</f>
        <v>57</v>
      </c>
      <c r="ET21" s="1168">
        <f t="shared" si="31"/>
        <v>10961</v>
      </c>
      <c r="EU21" s="1168">
        <f>San_Diego!$C$199</f>
        <v>8528</v>
      </c>
      <c r="EV21" s="1168">
        <f>San_Diego!$C$200</f>
        <v>38</v>
      </c>
      <c r="EW21" s="1168">
        <f>San_Diego!$C$201</f>
        <v>2395</v>
      </c>
      <c r="EX21" s="1168">
        <f>San_Diego!$C$203</f>
        <v>0</v>
      </c>
      <c r="EY21" s="1168">
        <f>San_Diego!$C$204</f>
        <v>0</v>
      </c>
      <c r="EZ21" s="1168">
        <f>San_Diego!$C$205</f>
        <v>7</v>
      </c>
      <c r="FA21" s="1168">
        <f>San_Diego!$C$206</f>
        <v>53</v>
      </c>
      <c r="FB21" s="1168">
        <f>San_Diego!$C$207</f>
        <v>725</v>
      </c>
      <c r="FC21" s="1168">
        <f t="shared" si="32"/>
        <v>1485</v>
      </c>
      <c r="FD21" s="1168">
        <f>San_Diego!$E$212</f>
        <v>812</v>
      </c>
      <c r="FE21" s="1168">
        <f>San_Diego!$E$213</f>
        <v>0</v>
      </c>
      <c r="FF21" s="1168">
        <f>San_Diego!$E$214</f>
        <v>251</v>
      </c>
      <c r="FG21" s="1168">
        <f>San_Diego!$E$215</f>
        <v>0</v>
      </c>
      <c r="FH21" s="1168">
        <f>San_Diego!$E$216</f>
        <v>7</v>
      </c>
      <c r="FI21" s="1168">
        <f>San_Diego!$E$217</f>
        <v>0</v>
      </c>
      <c r="FJ21" s="1168">
        <f>San_Diego!$E$218</f>
        <v>78</v>
      </c>
      <c r="FK21" s="1168">
        <f>San_Diego!$E$219</f>
        <v>0</v>
      </c>
      <c r="FL21" s="1168">
        <f>San_Diego!$E$220</f>
        <v>140</v>
      </c>
      <c r="FM21" s="1168">
        <f>San_Diego!$E$221</f>
        <v>3</v>
      </c>
      <c r="FN21" s="1168">
        <f>San_Diego!$E$222</f>
        <v>13</v>
      </c>
      <c r="FO21" s="1168">
        <f>San_Diego!$E$223</f>
        <v>0</v>
      </c>
      <c r="FP21" s="1168">
        <f>San_Diego!$E$224</f>
        <v>74</v>
      </c>
      <c r="FQ21" s="1168">
        <f>San_Diego!$E$225</f>
        <v>0</v>
      </c>
      <c r="FR21" s="1168">
        <f>San_Diego!$E$226</f>
        <v>107</v>
      </c>
      <c r="FS21" s="1168">
        <f>San_Diego!$E$227</f>
        <v>0</v>
      </c>
      <c r="FT21" s="1168">
        <f>San_Diego!$C$230</f>
        <v>217806</v>
      </c>
      <c r="FU21" s="1168">
        <f>San_Diego!$C$231</f>
        <v>0</v>
      </c>
      <c r="FV21" s="1168">
        <f>San_Diego!$C$232</f>
        <v>2785</v>
      </c>
      <c r="FW21" s="1168">
        <f>San_Diego!$C$233</f>
        <v>0</v>
      </c>
      <c r="FX21" s="1168">
        <f>San_Diego!$C$234</f>
        <v>456</v>
      </c>
      <c r="FY21" s="1168">
        <f>San_Diego!$C$235</f>
        <v>1012</v>
      </c>
      <c r="FZ21" s="135"/>
      <c r="GA21" s="1146">
        <f>San_Diego!$C$239</f>
        <v>168</v>
      </c>
      <c r="GB21" s="1168">
        <f>San_Diego!$C$240</f>
        <v>74128</v>
      </c>
      <c r="GC21" s="1168">
        <f>San_Diego!$C$241</f>
        <v>118</v>
      </c>
      <c r="GD21" s="1168">
        <f t="shared" si="33"/>
        <v>4040</v>
      </c>
      <c r="GE21" s="1168">
        <f>San_Diego!$G$246</f>
        <v>1129</v>
      </c>
      <c r="GF21" s="1168">
        <f>San_Diego!$G$247</f>
        <v>50</v>
      </c>
      <c r="GG21" s="1168">
        <f>San_Diego!$G$248</f>
        <v>82</v>
      </c>
      <c r="GH21" s="1168">
        <f>San_Diego!$G$249</f>
        <v>169</v>
      </c>
      <c r="GI21" s="1168">
        <f>San_Diego!$G$250</f>
        <v>12</v>
      </c>
      <c r="GJ21" s="1180">
        <f>San_Diego!$G$251</f>
        <v>2598</v>
      </c>
    </row>
    <row r="22" spans="1:192">
      <c r="A22" s="1095" t="s">
        <v>368</v>
      </c>
      <c r="B22" s="135">
        <f>San_Francisco!$C$18</f>
        <v>0</v>
      </c>
      <c r="C22" s="1174" t="str">
        <f>San_Francisco!$C$19</f>
        <v>N/A</v>
      </c>
      <c r="D22" s="135">
        <f>San_Francisco!$C$20</f>
        <v>2</v>
      </c>
      <c r="E22" s="1174" t="str">
        <f>San_Francisco!$C$21</f>
        <v>N/A</v>
      </c>
      <c r="F22" s="1165">
        <f>San_Francisco!$C$22</f>
        <v>1</v>
      </c>
      <c r="G22" s="1166">
        <f>San_Francisco!$C$26</f>
        <v>24.7</v>
      </c>
      <c r="H22" s="1166">
        <f>San_Francisco!$C$27</f>
        <v>23.7</v>
      </c>
      <c r="I22" s="1166">
        <f>San_Francisco!$C$28</f>
        <v>1</v>
      </c>
      <c r="J22" s="1166">
        <f>San_Francisco!$C$29</f>
        <v>0</v>
      </c>
      <c r="K22" s="1166">
        <f>San_Francisco!$C$30</f>
        <v>0</v>
      </c>
      <c r="L22" s="1166">
        <f>San_Francisco!$C$32</f>
        <v>32.090000000000003</v>
      </c>
      <c r="M22" s="1166">
        <f>San_Francisco!$C$33</f>
        <v>19.41</v>
      </c>
      <c r="N22" s="1166">
        <f>San_Francisco!$C$34</f>
        <v>7.75</v>
      </c>
      <c r="O22" s="1166">
        <f>San_Francisco!$C$35</f>
        <v>0</v>
      </c>
      <c r="P22" s="1166">
        <f>San_Francisco!$C$36</f>
        <v>0</v>
      </c>
      <c r="Q22" s="1166">
        <f>San_Francisco!$C$37</f>
        <v>10.31</v>
      </c>
      <c r="R22" s="1167">
        <f>San_Francisco!$C$38</f>
        <v>0.36</v>
      </c>
      <c r="S22" s="1166">
        <f>San_Francisco!$C$39</f>
        <v>94.26</v>
      </c>
      <c r="T22" s="1109">
        <f>San_Francisco!$C$44</f>
        <v>1697483.46</v>
      </c>
      <c r="U22" s="1109">
        <f>San_Francisco!$C$45</f>
        <v>1559314.64</v>
      </c>
      <c r="V22" s="1109">
        <f>San_Francisco!$C$46</f>
        <v>138168.82</v>
      </c>
      <c r="W22" s="1109">
        <f>San_Francisco!$C$47</f>
        <v>0</v>
      </c>
      <c r="X22" s="1109">
        <f>San_Francisco!$C$48</f>
        <v>2295940.2999999998</v>
      </c>
      <c r="Y22" s="1109">
        <f>San_Francisco!$C$49</f>
        <v>1121096.51</v>
      </c>
      <c r="Z22" s="1109">
        <f>San_Francisco!$C$50</f>
        <v>785421.3</v>
      </c>
      <c r="AA22" s="1109">
        <f>San_Francisco!$C$51</f>
        <v>389422.49</v>
      </c>
      <c r="AB22" s="1109">
        <f t="shared" si="3"/>
        <v>3993423.76</v>
      </c>
      <c r="AC22" s="1109">
        <f>San_Francisco!$C$52</f>
        <v>455058.24</v>
      </c>
      <c r="AD22" s="1109">
        <f t="shared" si="4"/>
        <v>4448482</v>
      </c>
      <c r="AE22" s="1109">
        <f t="shared" si="5"/>
        <v>357293</v>
      </c>
      <c r="AF22" s="1109">
        <f>San_Francisco!$C$57</f>
        <v>258768</v>
      </c>
      <c r="AG22" s="1109">
        <f>San_Francisco!$C$58</f>
        <v>98525</v>
      </c>
      <c r="AH22" s="1109">
        <f>San_Francisco!$C$59</f>
        <v>0</v>
      </c>
      <c r="AI22" s="1109">
        <f t="shared" si="6"/>
        <v>2056208</v>
      </c>
      <c r="AJ22" s="1109">
        <f>San_Francisco!$C$61</f>
        <v>577706</v>
      </c>
      <c r="AK22" s="1109">
        <f>San_Francisco!$C$62</f>
        <v>1177406</v>
      </c>
      <c r="AL22" s="1109">
        <f>San_Francisco!$C$63</f>
        <v>1059106</v>
      </c>
      <c r="AM22" s="1109">
        <f>San_Francisco!$C$64</f>
        <v>118300</v>
      </c>
      <c r="AN22" s="1109">
        <f>San_Francisco!$C$65</f>
        <v>174778</v>
      </c>
      <c r="AO22" s="1109">
        <f>San_Francisco!$C$66</f>
        <v>8018</v>
      </c>
      <c r="AP22" s="1109">
        <f t="shared" si="0"/>
        <v>690</v>
      </c>
      <c r="AQ22" s="1109">
        <f>San_Francisco!$C$68</f>
        <v>690</v>
      </c>
      <c r="AR22" s="1109">
        <f>San_Francisco!$C$69</f>
        <v>0</v>
      </c>
      <c r="AS22" s="1109">
        <f t="shared" si="7"/>
        <v>741</v>
      </c>
      <c r="AT22" s="1109">
        <f>San_Francisco!$C$71</f>
        <v>0</v>
      </c>
      <c r="AU22" s="1109">
        <f>San_Francisco!$C$72</f>
        <v>0</v>
      </c>
      <c r="AV22" s="1109">
        <f>San_Francisco!$C$73</f>
        <v>741</v>
      </c>
      <c r="AW22" s="1109">
        <f>San_Francisco!$C$74</f>
        <v>0</v>
      </c>
      <c r="AX22" s="1109">
        <f>San_Francisco!$C$75</f>
        <v>0</v>
      </c>
      <c r="AY22" s="1109">
        <f t="shared" si="1"/>
        <v>2414932</v>
      </c>
      <c r="AZ22" s="1109">
        <f t="shared" si="8"/>
        <v>84770.760000000009</v>
      </c>
      <c r="BA22" s="1109">
        <f>San_Francisco!$C$81</f>
        <v>31086</v>
      </c>
      <c r="BB22" s="1109">
        <f>San_Francisco!$C$82</f>
        <v>27719.66</v>
      </c>
      <c r="BC22" s="1109">
        <f>San_Francisco!$C$83</f>
        <v>1110</v>
      </c>
      <c r="BD22" s="1109">
        <f>San_Francisco!$C$84</f>
        <v>955</v>
      </c>
      <c r="BE22" s="1109">
        <f>San_Francisco!$C$85</f>
        <v>23900.1</v>
      </c>
      <c r="BF22" s="1109">
        <f>San_Francisco!$C$86</f>
        <v>0</v>
      </c>
      <c r="BG22" s="1109">
        <f t="shared" si="9"/>
        <v>19928.16</v>
      </c>
      <c r="BH22" s="1109">
        <f>San_Francisco!$C$88</f>
        <v>500</v>
      </c>
      <c r="BI22" s="1109">
        <f>San_Francisco!$C$89</f>
        <v>6979.36</v>
      </c>
      <c r="BJ22" s="1109">
        <f>San_Francisco!$C$90</f>
        <v>12448.8</v>
      </c>
      <c r="BK22" s="1109">
        <f>San_Francisco!$C$91</f>
        <v>5736.06</v>
      </c>
      <c r="BL22" s="1109">
        <f>San_Francisco!$C$92</f>
        <v>305436.77</v>
      </c>
      <c r="BM22" s="1109">
        <f>San_Francisco!$C$93</f>
        <v>180115</v>
      </c>
      <c r="BN22" s="1109">
        <f>San_Francisco!$C$94</f>
        <v>191423.51</v>
      </c>
      <c r="BO22" s="1109">
        <f t="shared" si="2"/>
        <v>7650824.2599999998</v>
      </c>
      <c r="BP22" s="1109">
        <f>San_Francisco!$C$96</f>
        <v>0</v>
      </c>
      <c r="BQ22" s="1109">
        <f t="shared" si="10"/>
        <v>7650824.2599999998</v>
      </c>
      <c r="BR22" s="1168" t="e">
        <f t="shared" si="11"/>
        <v>#REF!</v>
      </c>
      <c r="BS22" s="1168" t="e">
        <f>San_Francisco!#REF!</f>
        <v>#REF!</v>
      </c>
      <c r="BT22" s="1168">
        <f>San_Francisco!$C$105</f>
        <v>4546</v>
      </c>
      <c r="BU22" s="1168">
        <f>San_Francisco!$C$106</f>
        <v>64</v>
      </c>
      <c r="BV22" s="1168">
        <f>San_Francisco!E$107</f>
        <v>145909</v>
      </c>
      <c r="BW22" s="1168">
        <f>San_Francisco!E$108</f>
        <v>25485</v>
      </c>
      <c r="BX22" s="1168">
        <f>San_Francisco!E$109</f>
        <v>0</v>
      </c>
      <c r="BY22" s="1168">
        <f>San_Francisco!E$110</f>
        <v>184549</v>
      </c>
      <c r="BZ22" s="1168">
        <f t="shared" si="12"/>
        <v>68951</v>
      </c>
      <c r="CA22" s="1168">
        <f>San_Francisco!E$112</f>
        <v>11723</v>
      </c>
      <c r="CB22" s="1168">
        <f>San_Francisco!E$113</f>
        <v>57228</v>
      </c>
      <c r="CC22" s="1168">
        <f t="shared" si="13"/>
        <v>65479</v>
      </c>
      <c r="CD22" s="1168">
        <f t="shared" si="14"/>
        <v>39397</v>
      </c>
      <c r="CE22" s="1168">
        <f>San_Francisco!E$117</f>
        <v>2990</v>
      </c>
      <c r="CF22" s="1168">
        <f>San_Francisco!E$118</f>
        <v>36407</v>
      </c>
      <c r="CG22" s="1168">
        <f t="shared" si="15"/>
        <v>26082</v>
      </c>
      <c r="CH22" s="1168">
        <f>San_Francisco!E$120</f>
        <v>0</v>
      </c>
      <c r="CI22" s="1168">
        <f>San_Francisco!E$121</f>
        <v>23940</v>
      </c>
      <c r="CJ22" s="1168">
        <f>San_Francisco!E$122</f>
        <v>2142</v>
      </c>
      <c r="CK22" s="1168">
        <f t="shared" si="16"/>
        <v>153568</v>
      </c>
      <c r="CL22" s="1168">
        <f>San_Francisco!E$126</f>
        <v>19108</v>
      </c>
      <c r="CM22" s="1168">
        <f>San_Francisco!E$127</f>
        <v>134460</v>
      </c>
      <c r="CN22" s="1168">
        <f t="shared" si="17"/>
        <v>3675024</v>
      </c>
      <c r="CO22" s="1168">
        <f>San_Francisco!$E$130</f>
        <v>14849</v>
      </c>
      <c r="CP22" s="1168">
        <f>San_Francisco!$E$131</f>
        <v>97276</v>
      </c>
      <c r="CQ22" s="1168">
        <f>San_Francisco!$E$132</f>
        <v>7751</v>
      </c>
      <c r="CR22" s="1168">
        <f t="shared" si="18"/>
        <v>1640864</v>
      </c>
      <c r="CS22" s="1168">
        <f>San_Francisco!$E$134</f>
        <v>44341</v>
      </c>
      <c r="CT22" s="1168">
        <f>San_Francisco!$E$135</f>
        <v>1596523</v>
      </c>
      <c r="CU22" s="1168">
        <f>San_Francisco!$E$136</f>
        <v>272019</v>
      </c>
      <c r="CV22" s="1168">
        <f>San_Francisco!$E$138</f>
        <v>0</v>
      </c>
      <c r="CW22" s="1168">
        <f>San_Francisco!$E$139</f>
        <v>0</v>
      </c>
      <c r="CX22" s="1168">
        <f>San_Francisco!$E$140</f>
        <v>0</v>
      </c>
      <c r="CY22" s="1168">
        <f>San_Francisco!$E$141</f>
        <v>0</v>
      </c>
      <c r="CZ22" s="1168">
        <f>San_Francisco!E$142</f>
        <v>1401</v>
      </c>
      <c r="DA22" s="1168">
        <f>San_Francisco!$E$143</f>
        <v>0</v>
      </c>
      <c r="DB22" s="1168">
        <f t="shared" si="19"/>
        <v>1255700</v>
      </c>
      <c r="DC22" s="1168">
        <f>San_Francisco!$C$148</f>
        <v>1255700</v>
      </c>
      <c r="DD22" s="1168" t="str">
        <f>San_Francisco!$C$149</f>
        <v>n/a</v>
      </c>
      <c r="DE22" s="1168">
        <f t="shared" si="20"/>
        <v>0</v>
      </c>
      <c r="DF22" s="1168" t="str">
        <f>San_Francisco!$C$151</f>
        <v>n/a</v>
      </c>
      <c r="DG22" s="1168" t="str">
        <f>San_Francisco!$C$152</f>
        <v>n/a</v>
      </c>
      <c r="DH22" s="1168">
        <f t="shared" si="21"/>
        <v>463264</v>
      </c>
      <c r="DI22" s="1168">
        <f>San_Francisco!$C$156</f>
        <v>102739</v>
      </c>
      <c r="DJ22" s="1168">
        <f>San_Francisco!$C$157</f>
        <v>71512</v>
      </c>
      <c r="DK22" s="1168">
        <f>San_Francisco!$C$158</f>
        <v>364</v>
      </c>
      <c r="DL22" s="1168">
        <f t="shared" si="22"/>
        <v>3577</v>
      </c>
      <c r="DM22" s="1168">
        <f>San_Francisco!$C$160</f>
        <v>50</v>
      </c>
      <c r="DN22" s="1168">
        <f>San_Francisco!$C$161</f>
        <v>1626</v>
      </c>
      <c r="DO22" s="1168">
        <f>San_Francisco!$C$162</f>
        <v>1901</v>
      </c>
      <c r="DP22" s="1168">
        <f t="shared" si="23"/>
        <v>289013</v>
      </c>
      <c r="DQ22" s="1168">
        <f>San_Francisco!$C$164</f>
        <v>7445</v>
      </c>
      <c r="DR22" s="1168">
        <f>San_Francisco!$C$165</f>
        <v>279432</v>
      </c>
      <c r="DS22" s="1168">
        <f>San_Francisco!$C$166</f>
        <v>2136</v>
      </c>
      <c r="DT22" s="1168">
        <f t="shared" si="24"/>
        <v>6631</v>
      </c>
      <c r="DU22" s="1168">
        <f>San_Francisco!$C$169</f>
        <v>2737</v>
      </c>
      <c r="DV22" s="1168">
        <f>San_Francisco!$C$170</f>
        <v>3894</v>
      </c>
      <c r="DW22" s="1168">
        <f t="shared" si="25"/>
        <v>11328</v>
      </c>
      <c r="DX22" s="1168">
        <f>San_Francisco!$C$172</f>
        <v>3991</v>
      </c>
      <c r="DY22" s="1168">
        <f>San_Francisco!$C$173</f>
        <v>706</v>
      </c>
      <c r="DZ22" s="1168">
        <f>San_Francisco!$C$174</f>
        <v>6631</v>
      </c>
      <c r="EA22" s="1168">
        <f t="shared" si="26"/>
        <v>23496</v>
      </c>
      <c r="EB22" s="1168">
        <f>San_Francisco!$C$176</f>
        <v>5206</v>
      </c>
      <c r="EC22" s="1168">
        <f>San_Francisco!$C$177</f>
        <v>8</v>
      </c>
      <c r="ED22" s="1168">
        <f>San_Francisco!$C$178</f>
        <v>18282</v>
      </c>
      <c r="EE22" s="1168">
        <f t="shared" si="27"/>
        <v>8571</v>
      </c>
      <c r="EF22" s="1168">
        <f>San_Francisco!$C$181</f>
        <v>1461</v>
      </c>
      <c r="EG22" s="1168">
        <f>San_Francisco!$C$182</f>
        <v>7110</v>
      </c>
      <c r="EH22" s="1168">
        <f t="shared" si="28"/>
        <v>17529</v>
      </c>
      <c r="EI22" s="1168">
        <f>San_Francisco!$C$184</f>
        <v>6551</v>
      </c>
      <c r="EJ22" s="1168">
        <f>San_Francisco!$C$185</f>
        <v>2407</v>
      </c>
      <c r="EK22" s="1168">
        <f>San_Francisco!$C$186</f>
        <v>8571</v>
      </c>
      <c r="EL22" s="1168">
        <f t="shared" si="29"/>
        <v>17742</v>
      </c>
      <c r="EM22" s="1168">
        <f>San_Francisco!$C$188</f>
        <v>5735</v>
      </c>
      <c r="EN22" s="1168">
        <f>San_Francisco!$C$189</f>
        <v>76</v>
      </c>
      <c r="EO22" s="1168">
        <f>San_Francisco!$C$190</f>
        <v>11931</v>
      </c>
      <c r="EP22" s="1168">
        <f t="shared" si="30"/>
        <v>354</v>
      </c>
      <c r="EQ22" s="1168">
        <f>San_Francisco!$C$195</f>
        <v>348</v>
      </c>
      <c r="ER22" s="1168">
        <f>San_Francisco!$C$196</f>
        <v>6</v>
      </c>
      <c r="ES22" s="1168">
        <f>San_Francisco!$C$197</f>
        <v>0</v>
      </c>
      <c r="ET22" s="1168">
        <f t="shared" si="31"/>
        <v>10564</v>
      </c>
      <c r="EU22" s="1168">
        <f>San_Francisco!$C$199</f>
        <v>10406</v>
      </c>
      <c r="EV22" s="1168">
        <f>San_Francisco!$C$200</f>
        <v>158</v>
      </c>
      <c r="EW22" s="1168">
        <f>San_Francisco!$C$201</f>
        <v>0</v>
      </c>
      <c r="EX22" s="1168">
        <f>San_Francisco!$C$203</f>
        <v>0</v>
      </c>
      <c r="EY22" s="1168">
        <f>San_Francisco!$C$204</f>
        <v>0</v>
      </c>
      <c r="EZ22" s="1168">
        <f>San_Francisco!$C$205</f>
        <v>0</v>
      </c>
      <c r="FA22" s="1168">
        <f>San_Francisco!$C$206</f>
        <v>5725</v>
      </c>
      <c r="FB22" s="1168">
        <f>San_Francisco!$C$207</f>
        <v>0</v>
      </c>
      <c r="FC22" s="1168">
        <f t="shared" si="32"/>
        <v>284</v>
      </c>
      <c r="FD22" s="1168">
        <f>San_Francisco!$E$212</f>
        <v>129</v>
      </c>
      <c r="FE22" s="1168">
        <f>San_Francisco!$E$213</f>
        <v>0</v>
      </c>
      <c r="FF22" s="1168">
        <f>San_Francisco!$E$214</f>
        <v>60</v>
      </c>
      <c r="FG22" s="1168">
        <f>San_Francisco!$E$215</f>
        <v>0</v>
      </c>
      <c r="FH22" s="1168">
        <f>San_Francisco!$E$216</f>
        <v>0</v>
      </c>
      <c r="FI22" s="1168">
        <f>San_Francisco!$E$217</f>
        <v>1</v>
      </c>
      <c r="FJ22" s="1168">
        <f>San_Francisco!$E$218</f>
        <v>4</v>
      </c>
      <c r="FK22" s="1168">
        <f>San_Francisco!$E$219</f>
        <v>0</v>
      </c>
      <c r="FL22" s="1168">
        <f>San_Francisco!$E$220</f>
        <v>71</v>
      </c>
      <c r="FM22" s="1168">
        <f>San_Francisco!$E$221</f>
        <v>0</v>
      </c>
      <c r="FN22" s="1168">
        <f>San_Francisco!$E$222</f>
        <v>2</v>
      </c>
      <c r="FO22" s="1168">
        <f>San_Francisco!$E$223</f>
        <v>0</v>
      </c>
      <c r="FP22" s="1168" t="str">
        <f>San_Francisco!$E$224</f>
        <v>N/A</v>
      </c>
      <c r="FQ22" s="1168">
        <f>San_Francisco!$E$225</f>
        <v>0</v>
      </c>
      <c r="FR22" s="1168">
        <f>San_Francisco!$E$226</f>
        <v>17</v>
      </c>
      <c r="FS22" s="1168">
        <f>San_Francisco!$E$227</f>
        <v>0</v>
      </c>
      <c r="FT22" s="1168" t="str">
        <f>San_Francisco!$C$230</f>
        <v>N/A</v>
      </c>
      <c r="FU22" s="1168" t="str">
        <f>San_Francisco!$C$231</f>
        <v>N/A</v>
      </c>
      <c r="FV22" s="1168" t="str">
        <f>San_Francisco!$C$232</f>
        <v>N/A</v>
      </c>
      <c r="FW22" s="1168" t="str">
        <f>San_Francisco!$C$233</f>
        <v>N/A</v>
      </c>
      <c r="FX22" s="1168" t="str">
        <f>San_Francisco!$C$234</f>
        <v>N/A</v>
      </c>
      <c r="FY22" s="1168" t="str">
        <f>San_Francisco!$C$235</f>
        <v>N/A</v>
      </c>
      <c r="FZ22" s="135"/>
      <c r="GA22" s="1146">
        <f>San_Francisco!$C$239</f>
        <v>168</v>
      </c>
      <c r="GB22" s="1168">
        <f>San_Francisco!$C$240</f>
        <v>8995</v>
      </c>
      <c r="GC22" s="1168">
        <f>San_Francisco!$C$241</f>
        <v>114</v>
      </c>
      <c r="GD22" s="1168">
        <f t="shared" si="33"/>
        <v>1579</v>
      </c>
      <c r="GE22" s="1168">
        <f>San_Francisco!$G$246</f>
        <v>878</v>
      </c>
      <c r="GF22" s="1168">
        <f>San_Francisco!$G$247</f>
        <v>0</v>
      </c>
      <c r="GG22" s="1168">
        <f>San_Francisco!$G$248</f>
        <v>55</v>
      </c>
      <c r="GH22" s="1168">
        <f>San_Francisco!$G$249</f>
        <v>49</v>
      </c>
      <c r="GI22" s="1168">
        <f>San_Francisco!$G$250</f>
        <v>96</v>
      </c>
      <c r="GJ22" s="1180">
        <f>San_Francisco!$G$251</f>
        <v>501</v>
      </c>
    </row>
    <row r="23" spans="1:192">
      <c r="A23" s="772" t="s">
        <v>760</v>
      </c>
      <c r="B23" s="135">
        <f>San_Jose!$C$18</f>
        <v>0</v>
      </c>
      <c r="C23" s="135">
        <f>San_Jose!$C$19</f>
        <v>6</v>
      </c>
      <c r="D23" s="135">
        <f>San_Jose!$C$20</f>
        <v>36</v>
      </c>
      <c r="E23" s="135">
        <f>San_Jose!$C$21</f>
        <v>8</v>
      </c>
      <c r="F23" s="1165">
        <f>San_Jose!$C$22</f>
        <v>4</v>
      </c>
      <c r="G23" s="1166">
        <f>San_Jose!$C$26</f>
        <v>33.18</v>
      </c>
      <c r="H23" s="1166">
        <f>San_Jose!$C$27</f>
        <v>25.77</v>
      </c>
      <c r="I23" s="1166">
        <f>San_Jose!$C$28</f>
        <v>3</v>
      </c>
      <c r="J23" s="1166">
        <f>San_Jose!$C$29</f>
        <v>4.41</v>
      </c>
      <c r="K23" s="1166">
        <f>San_Jose!$C$30</f>
        <v>0</v>
      </c>
      <c r="L23" s="1166">
        <f>San_Jose!$C$32</f>
        <v>21.45</v>
      </c>
      <c r="M23" s="1166">
        <f>San_Jose!$C$33</f>
        <v>13</v>
      </c>
      <c r="N23" s="1166">
        <f>San_Jose!$C$34</f>
        <v>10.57</v>
      </c>
      <c r="O23" s="1166">
        <f>San_Jose!$C$35</f>
        <v>0</v>
      </c>
      <c r="P23" s="1166">
        <f>San_Jose!$C$36</f>
        <v>0</v>
      </c>
      <c r="Q23" s="1166">
        <f>San_Jose!$C$37</f>
        <v>27.11</v>
      </c>
      <c r="R23" s="1167">
        <f>San_Jose!$C$38</f>
        <v>0.1701</v>
      </c>
      <c r="S23" s="1166">
        <f>San_Jose!$C$39</f>
        <v>105.31</v>
      </c>
      <c r="T23" s="1109">
        <f>San_Jose!$C$44</f>
        <v>2562524</v>
      </c>
      <c r="U23" s="1109">
        <f>San_Jose!$C$45</f>
        <v>1872204</v>
      </c>
      <c r="V23" s="1109">
        <f>San_Jose!$C$46</f>
        <v>690320</v>
      </c>
      <c r="W23" s="1109">
        <f>San_Jose!$C$47</f>
        <v>0</v>
      </c>
      <c r="X23" s="1109">
        <f>San_Jose!$C$48</f>
        <v>2350375</v>
      </c>
      <c r="Y23" s="1109">
        <f>San_Jose!$C$49</f>
        <v>992487</v>
      </c>
      <c r="Z23" s="1109">
        <f>San_Jose!$C$50</f>
        <v>714400</v>
      </c>
      <c r="AA23" s="1109">
        <f>San_Jose!$C$51</f>
        <v>643488</v>
      </c>
      <c r="AB23" s="1109">
        <f t="shared" si="3"/>
        <v>4912899</v>
      </c>
      <c r="AC23" s="1109">
        <f>San_Jose!$C$52</f>
        <v>573258</v>
      </c>
      <c r="AD23" s="1109">
        <f t="shared" si="4"/>
        <v>5486157</v>
      </c>
      <c r="AE23" s="1109">
        <f t="shared" si="5"/>
        <v>507906</v>
      </c>
      <c r="AF23" s="1109">
        <f>San_Jose!$C$57</f>
        <v>368933</v>
      </c>
      <c r="AG23" s="1109">
        <f>San_Jose!$C$58</f>
        <v>138165</v>
      </c>
      <c r="AH23" s="1109">
        <f>San_Jose!$C$59</f>
        <v>808</v>
      </c>
      <c r="AI23" s="1109">
        <f t="shared" si="6"/>
        <v>1808893</v>
      </c>
      <c r="AJ23" s="1109">
        <f>San_Jose!$C$61</f>
        <v>149180</v>
      </c>
      <c r="AK23" s="1109">
        <f>San_Jose!$C$62</f>
        <v>1617462</v>
      </c>
      <c r="AL23" s="1109">
        <f>San_Jose!$C$63</f>
        <v>153868</v>
      </c>
      <c r="AM23" s="1109">
        <f>San_Jose!$C$64</f>
        <v>11342</v>
      </c>
      <c r="AN23" s="1109">
        <f>San_Jose!$C$65</f>
        <v>28739</v>
      </c>
      <c r="AO23" s="1109">
        <f>San_Jose!$C$66</f>
        <v>2170</v>
      </c>
      <c r="AP23" s="1109">
        <f t="shared" si="0"/>
        <v>16710</v>
      </c>
      <c r="AQ23" s="1109">
        <f>San_Jose!$C$68</f>
        <v>329</v>
      </c>
      <c r="AR23" s="1109">
        <f>San_Jose!$C$69</f>
        <v>16381</v>
      </c>
      <c r="AS23" s="1109">
        <f t="shared" si="7"/>
        <v>0</v>
      </c>
      <c r="AT23" s="1109">
        <f>San_Jose!$C$71</f>
        <v>0</v>
      </c>
      <c r="AU23" s="1109">
        <f>San_Jose!$C$72</f>
        <v>0</v>
      </c>
      <c r="AV23" s="1109">
        <f>San_Jose!$C$73</f>
        <v>0</v>
      </c>
      <c r="AW23" s="1109">
        <f>San_Jose!$C$74</f>
        <v>0</v>
      </c>
      <c r="AX23" s="1109">
        <f>San_Jose!$C$75</f>
        <v>0</v>
      </c>
      <c r="AY23" s="1109">
        <f t="shared" si="1"/>
        <v>2333509</v>
      </c>
      <c r="AZ23" s="1109">
        <f t="shared" si="8"/>
        <v>80205</v>
      </c>
      <c r="BA23" s="1109">
        <f>San_Jose!$C$81</f>
        <v>21280</v>
      </c>
      <c r="BB23" s="1109">
        <f>San_Jose!$C$82</f>
        <v>22925</v>
      </c>
      <c r="BC23" s="1109">
        <f>San_Jose!$C$83</f>
        <v>1329</v>
      </c>
      <c r="BD23" s="1109">
        <f>San_Jose!$C$84</f>
        <v>0</v>
      </c>
      <c r="BE23" s="1109">
        <f>San_Jose!$C$85</f>
        <v>34671</v>
      </c>
      <c r="BF23" s="1109">
        <f>San_Jose!$C$86</f>
        <v>1755</v>
      </c>
      <c r="BG23" s="1109">
        <f t="shared" si="9"/>
        <v>46338</v>
      </c>
      <c r="BH23" s="1109">
        <f>San_Jose!$C$88</f>
        <v>4615</v>
      </c>
      <c r="BI23" s="1109">
        <f>San_Jose!$C$89</f>
        <v>4253</v>
      </c>
      <c r="BJ23" s="1109">
        <f>San_Jose!$C$90</f>
        <v>37470</v>
      </c>
      <c r="BK23" s="1109">
        <f>San_Jose!$C$91</f>
        <v>109881</v>
      </c>
      <c r="BL23" s="1109">
        <f>San_Jose!$C$92</f>
        <v>267523</v>
      </c>
      <c r="BM23" s="1109">
        <f>San_Jose!$C$93</f>
        <v>122404</v>
      </c>
      <c r="BN23" s="1109">
        <f>San_Jose!$C$94</f>
        <v>614887</v>
      </c>
      <c r="BO23" s="1109">
        <f t="shared" si="2"/>
        <v>9062659</v>
      </c>
      <c r="BP23" s="1109">
        <f>San_Jose!$C$96</f>
        <v>0</v>
      </c>
      <c r="BQ23" s="1109">
        <f t="shared" si="10"/>
        <v>9062659</v>
      </c>
      <c r="BR23" s="1168">
        <f t="shared" si="11"/>
        <v>1342382</v>
      </c>
      <c r="BS23" s="1168">
        <f>San_Jose!$E$104</f>
        <v>930348</v>
      </c>
      <c r="BT23" s="1168">
        <f>San_Jose!$C$105</f>
        <v>7337</v>
      </c>
      <c r="BU23" s="1168">
        <f>San_Jose!$C$106</f>
        <v>2659</v>
      </c>
      <c r="BV23" s="1168">
        <f>San_Jose!$E$107</f>
        <v>217351</v>
      </c>
      <c r="BW23" s="1168">
        <f>San_Jose!$E$108</f>
        <v>61437</v>
      </c>
      <c r="BX23" s="1168">
        <f>San_Jose!$E$109</f>
        <v>17365</v>
      </c>
      <c r="BY23" s="1168">
        <f>San_Jose!$E$110</f>
        <v>105885</v>
      </c>
      <c r="BZ23" s="1168">
        <f t="shared" si="12"/>
        <v>133069</v>
      </c>
      <c r="CA23" s="1168">
        <f>San_Jose!$E$112</f>
        <v>65057</v>
      </c>
      <c r="CB23" s="1168">
        <f>San_Jose!$E$113</f>
        <v>68012</v>
      </c>
      <c r="CC23" s="1168">
        <f t="shared" si="13"/>
        <v>108643</v>
      </c>
      <c r="CD23" s="1168">
        <f t="shared" si="14"/>
        <v>71866</v>
      </c>
      <c r="CE23" s="1168">
        <f>San_Jose!$E$117</f>
        <v>361</v>
      </c>
      <c r="CF23" s="1168">
        <f>San_Jose!$E$118</f>
        <v>71505</v>
      </c>
      <c r="CG23" s="1168">
        <f t="shared" si="15"/>
        <v>36777</v>
      </c>
      <c r="CH23" s="1168">
        <f>San_Jose!$E$120</f>
        <v>39</v>
      </c>
      <c r="CI23" s="1168">
        <f>San_Jose!$E$121</f>
        <v>28012</v>
      </c>
      <c r="CJ23" s="1168">
        <f>San_Jose!$E$122</f>
        <v>8726</v>
      </c>
      <c r="CK23" s="1168">
        <f t="shared" si="16"/>
        <v>36542</v>
      </c>
      <c r="CL23" s="1168">
        <f>San_Jose!$E$126</f>
        <v>24570</v>
      </c>
      <c r="CM23" s="1168">
        <f>San_Jose!$E$127</f>
        <v>11972</v>
      </c>
      <c r="CN23" s="1168">
        <f t="shared" si="17"/>
        <v>401045.3</v>
      </c>
      <c r="CO23" s="1168">
        <f>San_Jose!$E$130</f>
        <v>10897</v>
      </c>
      <c r="CP23" s="1168">
        <f>San_Jose!$E$131</f>
        <v>3315</v>
      </c>
      <c r="CQ23" s="1168">
        <f>San_Jose!$E$132</f>
        <v>3499.3</v>
      </c>
      <c r="CR23" s="1168">
        <f t="shared" si="18"/>
        <v>0</v>
      </c>
      <c r="CS23" s="1168" t="str">
        <f>San_Jose!$E$134</f>
        <v>UNK</v>
      </c>
      <c r="CT23" s="1168" t="str">
        <f>San_Jose!$E$135</f>
        <v>UNK</v>
      </c>
      <c r="CU23" s="1168">
        <f>San_Jose!$E$136</f>
        <v>249249</v>
      </c>
      <c r="CV23" s="1168">
        <f>San_Jose!$E$138</f>
        <v>10</v>
      </c>
      <c r="CW23" s="1168">
        <f>San_Jose!$E$139</f>
        <v>6067</v>
      </c>
      <c r="CX23" s="1168" t="str">
        <f>San_Jose!$E$140</f>
        <v>UNK</v>
      </c>
      <c r="CY23" s="1168">
        <f>San_Jose!$E$141</f>
        <v>63048</v>
      </c>
      <c r="CZ23" s="1168">
        <f>San_Jose!$E$142</f>
        <v>1817</v>
      </c>
      <c r="DA23" s="1168">
        <f>San_Jose!$E$143</f>
        <v>63143</v>
      </c>
      <c r="DB23" s="1168">
        <f t="shared" si="19"/>
        <v>9288329</v>
      </c>
      <c r="DC23" s="1168">
        <f>San_Jose!$C$148</f>
        <v>5798168</v>
      </c>
      <c r="DD23" s="1168">
        <f>San_Jose!$C$149</f>
        <v>3490161</v>
      </c>
      <c r="DE23" s="1168">
        <f t="shared" si="20"/>
        <v>3390015</v>
      </c>
      <c r="DF23" s="1168" t="str">
        <f>San_Jose!$C$151</f>
        <v>UNK</v>
      </c>
      <c r="DG23" s="1168">
        <f>San_Jose!$C$152</f>
        <v>3390015</v>
      </c>
      <c r="DH23" s="1168">
        <f t="shared" si="21"/>
        <v>439682</v>
      </c>
      <c r="DI23" s="1168">
        <f>San_Jose!$C$156</f>
        <v>236788</v>
      </c>
      <c r="DJ23" s="1168">
        <f>San_Jose!$C$157</f>
        <v>149704</v>
      </c>
      <c r="DK23" s="1168">
        <f>San_Jose!$C$158</f>
        <v>197207</v>
      </c>
      <c r="DL23" s="1168">
        <f t="shared" si="22"/>
        <v>212174</v>
      </c>
      <c r="DM23" s="1168">
        <f>San_Jose!$C$160</f>
        <v>0</v>
      </c>
      <c r="DN23" s="1168">
        <f>San_Jose!$C$161</f>
        <v>109138</v>
      </c>
      <c r="DO23" s="1168">
        <f>San_Jose!$C$162</f>
        <v>103036</v>
      </c>
      <c r="DP23" s="1168">
        <f t="shared" si="23"/>
        <v>53190</v>
      </c>
      <c r="DQ23" s="1168">
        <f>San_Jose!$C$164</f>
        <v>10986</v>
      </c>
      <c r="DR23" s="1168">
        <f>San_Jose!$C$165</f>
        <v>42204</v>
      </c>
      <c r="DS23" s="1168">
        <f>San_Jose!$C$166</f>
        <v>0</v>
      </c>
      <c r="DT23" s="1168">
        <f t="shared" si="24"/>
        <v>8260</v>
      </c>
      <c r="DU23" s="1168">
        <f>San_Jose!$C$169</f>
        <v>3245</v>
      </c>
      <c r="DV23" s="1168">
        <f>San_Jose!$C$170</f>
        <v>5015</v>
      </c>
      <c r="DW23" s="1168">
        <f t="shared" si="25"/>
        <v>8260</v>
      </c>
      <c r="DX23" s="1168">
        <f>San_Jose!$C$172</f>
        <v>3906</v>
      </c>
      <c r="DY23" s="1168">
        <f>San_Jose!$C$173</f>
        <v>543</v>
      </c>
      <c r="DZ23" s="1168">
        <f>San_Jose!$C$174</f>
        <v>3811</v>
      </c>
      <c r="EA23" s="1168">
        <f t="shared" si="26"/>
        <v>18493</v>
      </c>
      <c r="EB23" s="1168">
        <f>San_Jose!$C$176</f>
        <v>4753</v>
      </c>
      <c r="EC23" s="1168">
        <f>San_Jose!$C$177</f>
        <v>8</v>
      </c>
      <c r="ED23" s="1168">
        <f>San_Jose!$C$178</f>
        <v>13732</v>
      </c>
      <c r="EE23" s="1168">
        <f t="shared" si="27"/>
        <v>13401</v>
      </c>
      <c r="EF23" s="1168">
        <f>San_Jose!$C$181</f>
        <v>1425</v>
      </c>
      <c r="EG23" s="1168">
        <f>San_Jose!$C$182</f>
        <v>11976</v>
      </c>
      <c r="EH23" s="1168">
        <f t="shared" si="28"/>
        <v>13401</v>
      </c>
      <c r="EI23" s="1168">
        <f>San_Jose!$C$184</f>
        <v>1266</v>
      </c>
      <c r="EJ23" s="1168">
        <f>San_Jose!$C$185</f>
        <v>201</v>
      </c>
      <c r="EK23" s="1168">
        <f>San_Jose!$C$186</f>
        <v>11934</v>
      </c>
      <c r="EL23" s="1168">
        <f t="shared" si="29"/>
        <v>12602</v>
      </c>
      <c r="EM23" s="1168">
        <f>San_Jose!$C$188</f>
        <v>4428</v>
      </c>
      <c r="EN23" s="1168">
        <f>San_Jose!$C$189</f>
        <v>101</v>
      </c>
      <c r="EO23" s="1168">
        <f>San_Jose!$C$190</f>
        <v>8073</v>
      </c>
      <c r="EP23" s="1168">
        <f t="shared" si="30"/>
        <v>543</v>
      </c>
      <c r="EQ23" s="1168">
        <f>San_Jose!$C$195</f>
        <v>543</v>
      </c>
      <c r="ER23" s="1168">
        <f>San_Jose!$C$196</f>
        <v>0</v>
      </c>
      <c r="ES23" s="1168" t="str">
        <f>San_Jose!$C$197</f>
        <v>UNK</v>
      </c>
      <c r="ET23" s="1168">
        <f t="shared" si="31"/>
        <v>12843</v>
      </c>
      <c r="EU23" s="1168">
        <f>San_Jose!$C$199</f>
        <v>12843</v>
      </c>
      <c r="EV23" s="1168">
        <f>San_Jose!$C$200</f>
        <v>0</v>
      </c>
      <c r="EW23" s="1168" t="str">
        <f>San_Jose!$C$201</f>
        <v>UNK</v>
      </c>
      <c r="EX23" s="1168">
        <f>San_Jose!$C$203</f>
        <v>0</v>
      </c>
      <c r="EY23" s="1168">
        <f>San_Jose!$C$204</f>
        <v>0</v>
      </c>
      <c r="EZ23" s="1168">
        <f>San_Jose!$C$205</f>
        <v>66</v>
      </c>
      <c r="FA23" s="1168">
        <f>San_Jose!$C$206</f>
        <v>1794</v>
      </c>
      <c r="FB23" s="1168">
        <f>San_Jose!$C$207</f>
        <v>14</v>
      </c>
      <c r="FC23" s="1168">
        <f t="shared" si="32"/>
        <v>379</v>
      </c>
      <c r="FD23" s="1168">
        <f>San_Jose!$E$212</f>
        <v>253</v>
      </c>
      <c r="FE23" s="1168" t="str">
        <f>San_Jose!$E$213</f>
        <v>UNK</v>
      </c>
      <c r="FF23" s="1168">
        <f>San_Jose!$E$214</f>
        <v>96</v>
      </c>
      <c r="FG23" s="1168" t="str">
        <f>San_Jose!$E$215</f>
        <v>UNK</v>
      </c>
      <c r="FH23" s="1168">
        <f>San_Jose!$E$216</f>
        <v>6</v>
      </c>
      <c r="FI23" s="1168" t="str">
        <f>San_Jose!$E$217</f>
        <v>UNK</v>
      </c>
      <c r="FJ23" s="1168">
        <f>San_Jose!$E$218</f>
        <v>8</v>
      </c>
      <c r="FK23" s="1168" t="str">
        <f>San_Jose!$E$219</f>
        <v>UNK</v>
      </c>
      <c r="FL23" s="1168">
        <f>San_Jose!$E$220</f>
        <v>13</v>
      </c>
      <c r="FM23" s="1168" t="str">
        <f>San_Jose!$E$221</f>
        <v>UNK</v>
      </c>
      <c r="FN23" s="1168">
        <f>San_Jose!$E$222</f>
        <v>0</v>
      </c>
      <c r="FO23" s="1168" t="str">
        <f>San_Jose!$E$223</f>
        <v>UNK</v>
      </c>
      <c r="FP23" s="1168">
        <f>San_Jose!$E$224</f>
        <v>0</v>
      </c>
      <c r="FQ23" s="1168" t="str">
        <f>San_Jose!$E$225</f>
        <v>UNK</v>
      </c>
      <c r="FR23" s="1168">
        <f>San_Jose!$E$226</f>
        <v>3</v>
      </c>
      <c r="FS23" s="1168" t="str">
        <f>San_Jose!$E$227</f>
        <v>UNK</v>
      </c>
      <c r="FT23" s="1168">
        <f>San_Jose!$C$230</f>
        <v>60301</v>
      </c>
      <c r="FU23" s="1168" t="str">
        <f>San_Jose!$C$231</f>
        <v>UNK</v>
      </c>
      <c r="FV23" s="1168">
        <f>San_Jose!$C$232</f>
        <v>1592</v>
      </c>
      <c r="FW23" s="1168" t="str">
        <f>San_Jose!$C$233</f>
        <v>UNK</v>
      </c>
      <c r="FX23" s="1168">
        <f>San_Jose!$C$234</f>
        <v>856</v>
      </c>
      <c r="FY23" s="1168" t="str">
        <f>San_Jose!$C$235</f>
        <v>UNK</v>
      </c>
      <c r="FZ23" s="135"/>
      <c r="GA23" s="1146">
        <f>San_Jose!$C$239</f>
        <v>84</v>
      </c>
      <c r="GB23" s="1168">
        <f>San_Jose!$C$240</f>
        <v>66429</v>
      </c>
      <c r="GC23" s="1168">
        <f>San_Jose!$C$241</f>
        <v>89</v>
      </c>
      <c r="GD23" s="1168">
        <f t="shared" si="33"/>
        <v>5082</v>
      </c>
      <c r="GE23" s="1168">
        <f>San_Jose!$G$246</f>
        <v>408</v>
      </c>
      <c r="GF23" s="1168">
        <f>San_Jose!$G$247</f>
        <v>0</v>
      </c>
      <c r="GG23" s="1168">
        <f>San_Jose!$G$248</f>
        <v>145</v>
      </c>
      <c r="GH23" s="1168">
        <f>San_Jose!$G$249</f>
        <v>67</v>
      </c>
      <c r="GI23" s="1168">
        <f>San_Jose!$G$250</f>
        <v>53</v>
      </c>
      <c r="GJ23" s="1180">
        <f>San_Jose!$G$251</f>
        <v>4409</v>
      </c>
    </row>
    <row r="24" spans="1:192">
      <c r="A24" s="1095" t="s">
        <v>761</v>
      </c>
      <c r="B24" s="135">
        <f>San_Luis_Obispo!$C$18</f>
        <v>0</v>
      </c>
      <c r="C24" s="135">
        <f>San_Luis_Obispo!$C$19</f>
        <v>8</v>
      </c>
      <c r="D24" s="135">
        <f>San_Luis_Obispo!$C$20</f>
        <v>18</v>
      </c>
      <c r="E24" s="135">
        <f>San_Luis_Obispo!$C$21</f>
        <v>2</v>
      </c>
      <c r="F24" s="1165">
        <f>San_Luis_Obispo!$C$22</f>
        <v>13</v>
      </c>
      <c r="G24" s="1166">
        <f>San_Luis_Obispo!$C$26</f>
        <v>14.5</v>
      </c>
      <c r="H24" s="1166">
        <f>San_Luis_Obispo!$C$27</f>
        <v>9.5</v>
      </c>
      <c r="I24" s="1166">
        <f>San_Luis_Obispo!$C$28</f>
        <v>3</v>
      </c>
      <c r="J24" s="1166">
        <f>San_Luis_Obispo!$C$29</f>
        <v>2</v>
      </c>
      <c r="K24" s="1166">
        <f>San_Luis_Obispo!$C$30</f>
        <v>0</v>
      </c>
      <c r="L24" s="1166">
        <f>San_Luis_Obispo!$C$32</f>
        <v>23</v>
      </c>
      <c r="M24" s="1166">
        <f>San_Luis_Obispo!$C$33</f>
        <v>3</v>
      </c>
      <c r="N24" s="1166">
        <f>San_Luis_Obispo!$C$34</f>
        <v>6.5</v>
      </c>
      <c r="O24" s="1166">
        <f>San_Luis_Obispo!$C$35</f>
        <v>0</v>
      </c>
      <c r="P24" s="1166">
        <f>San_Luis_Obispo!$C$36</f>
        <v>0.5</v>
      </c>
      <c r="Q24" s="1166">
        <f>San_Luis_Obispo!$C$37</f>
        <v>16.690000000000001</v>
      </c>
      <c r="R24" s="1167">
        <f>San_Luis_Obispo!$C$38</f>
        <v>0.1</v>
      </c>
      <c r="S24" s="1166">
        <f>San_Luis_Obispo!$C$39</f>
        <v>63.69</v>
      </c>
      <c r="T24" s="1109">
        <f>San_Luis_Obispo!$C$44</f>
        <v>1187440</v>
      </c>
      <c r="U24" s="1109">
        <f>San_Luis_Obispo!$C$45</f>
        <v>752650</v>
      </c>
      <c r="V24" s="1109">
        <f>San_Luis_Obispo!$C$46</f>
        <v>434790</v>
      </c>
      <c r="W24" s="1109">
        <f>San_Luis_Obispo!$C$47</f>
        <v>0</v>
      </c>
      <c r="X24" s="1109">
        <f>San_Luis_Obispo!$C$48</f>
        <v>1581765</v>
      </c>
      <c r="Y24" s="1109">
        <f>San_Luis_Obispo!$C$49</f>
        <v>1031468</v>
      </c>
      <c r="Z24" s="1109">
        <f>San_Luis_Obispo!$C$50</f>
        <v>136363</v>
      </c>
      <c r="AA24" s="1109">
        <f>San_Luis_Obispo!$C$51</f>
        <v>413934</v>
      </c>
      <c r="AB24" s="1109">
        <f t="shared" si="3"/>
        <v>2769205</v>
      </c>
      <c r="AC24" s="1109">
        <f>San_Luis_Obispo!$C$52</f>
        <v>323755</v>
      </c>
      <c r="AD24" s="1109">
        <f t="shared" si="4"/>
        <v>3092960</v>
      </c>
      <c r="AE24" s="1109">
        <f t="shared" si="5"/>
        <v>208976</v>
      </c>
      <c r="AF24" s="1109">
        <f>San_Luis_Obispo!$C$57</f>
        <v>201809</v>
      </c>
      <c r="AG24" s="1109">
        <f>San_Luis_Obispo!$C$58</f>
        <v>7055</v>
      </c>
      <c r="AH24" s="1109">
        <f>San_Luis_Obispo!$C$59</f>
        <v>112</v>
      </c>
      <c r="AI24" s="1109">
        <f t="shared" si="6"/>
        <v>1336963</v>
      </c>
      <c r="AJ24" s="1109">
        <f>San_Luis_Obispo!$C$61</f>
        <v>295024</v>
      </c>
      <c r="AK24" s="1109">
        <f>San_Luis_Obispo!$C$62</f>
        <v>1023582</v>
      </c>
      <c r="AL24" s="1109">
        <f>San_Luis_Obispo!$C$63</f>
        <v>237350</v>
      </c>
      <c r="AM24" s="1109">
        <f>San_Luis_Obispo!$C$64</f>
        <v>2673</v>
      </c>
      <c r="AN24" s="1109">
        <f>San_Luis_Obispo!$C$65</f>
        <v>14330</v>
      </c>
      <c r="AO24" s="1109">
        <f>San_Luis_Obispo!$C$66</f>
        <v>1354</v>
      </c>
      <c r="AP24" s="1109">
        <f t="shared" si="0"/>
        <v>6856</v>
      </c>
      <c r="AQ24" s="1109">
        <f>San_Luis_Obispo!$C$68</f>
        <v>0</v>
      </c>
      <c r="AR24" s="1109">
        <f>San_Luis_Obispo!$C$69</f>
        <v>6856</v>
      </c>
      <c r="AS24" s="1109">
        <f t="shared" si="7"/>
        <v>1878</v>
      </c>
      <c r="AT24" s="1109">
        <f>San_Luis_Obispo!$C$71</f>
        <v>0</v>
      </c>
      <c r="AU24" s="1109">
        <f>San_Luis_Obispo!$C$72</f>
        <v>0</v>
      </c>
      <c r="AV24" s="1109">
        <f>San_Luis_Obispo!$C$73</f>
        <v>0</v>
      </c>
      <c r="AW24" s="1109">
        <f>San_Luis_Obispo!$C$74</f>
        <v>1878</v>
      </c>
      <c r="AX24" s="1109">
        <f>San_Luis_Obispo!$C$75</f>
        <v>0</v>
      </c>
      <c r="AY24" s="1109">
        <f t="shared" si="1"/>
        <v>1554673</v>
      </c>
      <c r="AZ24" s="1109">
        <f t="shared" si="8"/>
        <v>53402</v>
      </c>
      <c r="BA24" s="1109">
        <f>San_Luis_Obispo!$C$81</f>
        <v>24400</v>
      </c>
      <c r="BB24" s="1109">
        <f>San_Luis_Obispo!$C$82</f>
        <v>22797</v>
      </c>
      <c r="BC24" s="1109">
        <f>San_Luis_Obispo!$C$83</f>
        <v>1031</v>
      </c>
      <c r="BD24" s="1109">
        <f>San_Luis_Obispo!$C$84</f>
        <v>470</v>
      </c>
      <c r="BE24" s="1109">
        <f>San_Luis_Obispo!$C$85</f>
        <v>4704</v>
      </c>
      <c r="BF24" s="1109">
        <f>San_Luis_Obispo!$C$86</f>
        <v>195132</v>
      </c>
      <c r="BG24" s="1109">
        <f t="shared" si="9"/>
        <v>29651</v>
      </c>
      <c r="BH24" s="1109">
        <f>San_Luis_Obispo!$C$88</f>
        <v>4256</v>
      </c>
      <c r="BI24" s="1109">
        <f>San_Luis_Obispo!$C$89</f>
        <v>16601</v>
      </c>
      <c r="BJ24" s="1109">
        <f>San_Luis_Obispo!$C$90</f>
        <v>8794</v>
      </c>
      <c r="BK24" s="1109">
        <f>San_Luis_Obispo!$C$91</f>
        <v>337792</v>
      </c>
      <c r="BL24" s="1109">
        <f>San_Luis_Obispo!$C$92</f>
        <v>320915</v>
      </c>
      <c r="BM24" s="1109">
        <f>San_Luis_Obispo!$C$93</f>
        <v>72745</v>
      </c>
      <c r="BN24" s="1109">
        <f>San_Luis_Obispo!$C$94</f>
        <v>27002</v>
      </c>
      <c r="BO24" s="1109">
        <f t="shared" si="2"/>
        <v>5684272</v>
      </c>
      <c r="BP24" s="1109">
        <f>San_Luis_Obispo!$C$96</f>
        <v>1075519</v>
      </c>
      <c r="BQ24" s="1109">
        <f t="shared" si="10"/>
        <v>6759791</v>
      </c>
      <c r="BR24" s="1168">
        <f t="shared" si="11"/>
        <v>828619</v>
      </c>
      <c r="BS24" s="1168">
        <f>San_Luis_Obispo!$E$104</f>
        <v>603982</v>
      </c>
      <c r="BT24" s="1168">
        <f>San_Luis_Obispo!$C$105</f>
        <v>2976</v>
      </c>
      <c r="BU24" s="1168">
        <f>San_Luis_Obispo!$C$106</f>
        <v>594</v>
      </c>
      <c r="BV24" s="1168">
        <f>San_Luis_Obispo!$E$107</f>
        <v>118905</v>
      </c>
      <c r="BW24" s="1168">
        <f>San_Luis_Obispo!$E$108</f>
        <v>37738</v>
      </c>
      <c r="BX24" s="1168">
        <f>San_Luis_Obispo!$E$109</f>
        <v>43351</v>
      </c>
      <c r="BY24" s="1168">
        <f>San_Luis_Obispo!$E$110</f>
        <v>21073</v>
      </c>
      <c r="BZ24" s="1168">
        <f t="shared" si="12"/>
        <v>8556</v>
      </c>
      <c r="CA24" s="1168">
        <f>San_Luis_Obispo!$E$112</f>
        <v>3236</v>
      </c>
      <c r="CB24" s="1168">
        <f>San_Luis_Obispo!$E$113</f>
        <v>5320</v>
      </c>
      <c r="CC24" s="1168">
        <f t="shared" si="13"/>
        <v>50497</v>
      </c>
      <c r="CD24" s="1168">
        <f t="shared" si="14"/>
        <v>32956</v>
      </c>
      <c r="CE24" s="1168">
        <f>San_Luis_Obispo!$E$117</f>
        <v>737</v>
      </c>
      <c r="CF24" s="1168">
        <f>San_Luis_Obispo!$E$118</f>
        <v>32219</v>
      </c>
      <c r="CG24" s="1168">
        <f t="shared" si="15"/>
        <v>17541</v>
      </c>
      <c r="CH24" s="1168">
        <f>San_Luis_Obispo!$E$120</f>
        <v>76</v>
      </c>
      <c r="CI24" s="1168">
        <f>San_Luis_Obispo!$E$121</f>
        <v>15632</v>
      </c>
      <c r="CJ24" s="1168">
        <f>San_Luis_Obispo!$E$122</f>
        <v>1833</v>
      </c>
      <c r="CK24" s="1168">
        <f t="shared" si="16"/>
        <v>4141</v>
      </c>
      <c r="CL24" s="1168">
        <f>San_Luis_Obispo!$E$126</f>
        <v>2308</v>
      </c>
      <c r="CM24" s="1168">
        <f>San_Luis_Obispo!$E$127</f>
        <v>1833</v>
      </c>
      <c r="CN24" s="1168">
        <f t="shared" si="17"/>
        <v>4434919.3600000003</v>
      </c>
      <c r="CO24" s="1168">
        <f>San_Luis_Obispo!$E$130</f>
        <v>24584</v>
      </c>
      <c r="CP24" s="1168">
        <f>San_Luis_Obispo!$E$131</f>
        <v>37053</v>
      </c>
      <c r="CQ24" s="1168">
        <f>San_Luis_Obispo!$E$132</f>
        <v>0</v>
      </c>
      <c r="CR24" s="1168">
        <f t="shared" si="18"/>
        <v>2157256</v>
      </c>
      <c r="CS24" s="1168">
        <f>San_Luis_Obispo!$E$134</f>
        <v>2133505</v>
      </c>
      <c r="CT24" s="1168">
        <f>San_Luis_Obispo!$E$135</f>
        <v>23751</v>
      </c>
      <c r="CU24" s="1168">
        <f>San_Luis_Obispo!$E$136</f>
        <v>39772</v>
      </c>
      <c r="CV24" s="1168">
        <f>San_Luis_Obispo!$E$138</f>
        <v>84</v>
      </c>
      <c r="CW24" s="1168">
        <f>San_Luis_Obispo!$E$139</f>
        <v>14409</v>
      </c>
      <c r="CX24" s="1168">
        <f>San_Luis_Obispo!$E$140</f>
        <v>78.36</v>
      </c>
      <c r="CY24" s="1168" t="str">
        <f>San_Luis_Obispo!$E$141</f>
        <v>***</v>
      </c>
      <c r="CZ24" s="1168">
        <f>San_Luis_Obispo!$E$142</f>
        <v>4427</v>
      </c>
      <c r="DA24" s="1168">
        <f>San_Luis_Obispo!$E$143</f>
        <v>0</v>
      </c>
      <c r="DB24" s="1168">
        <f t="shared" si="19"/>
        <v>1489611</v>
      </c>
      <c r="DC24" s="1168">
        <f>San_Luis_Obispo!$C$148</f>
        <v>840370</v>
      </c>
      <c r="DD24" s="1168">
        <f>San_Luis_Obispo!$C$149</f>
        <v>649241</v>
      </c>
      <c r="DE24" s="1168">
        <f t="shared" si="20"/>
        <v>97568</v>
      </c>
      <c r="DF24" s="1168">
        <f>San_Luis_Obispo!$C$151</f>
        <v>97568</v>
      </c>
      <c r="DG24" s="1168" t="str">
        <f>San_Luis_Obispo!$C$152</f>
        <v>NA</v>
      </c>
      <c r="DH24" s="1168">
        <f t="shared" si="21"/>
        <v>148493</v>
      </c>
      <c r="DI24" s="1168">
        <f>San_Luis_Obispo!$C$156</f>
        <v>66753</v>
      </c>
      <c r="DJ24" s="1168">
        <f>San_Luis_Obispo!$C$157</f>
        <v>41813</v>
      </c>
      <c r="DK24" s="1168">
        <f>San_Luis_Obispo!$C$158</f>
        <v>20274</v>
      </c>
      <c r="DL24" s="1168">
        <f t="shared" si="22"/>
        <v>2658</v>
      </c>
      <c r="DM24" s="1168">
        <f>San_Luis_Obispo!$C$160</f>
        <v>108</v>
      </c>
      <c r="DN24" s="1168">
        <f>San_Luis_Obispo!$C$161</f>
        <v>1171</v>
      </c>
      <c r="DO24" s="1168">
        <f>San_Luis_Obispo!$C$162</f>
        <v>1379</v>
      </c>
      <c r="DP24" s="1168">
        <f t="shared" si="23"/>
        <v>39927</v>
      </c>
      <c r="DQ24" s="1168">
        <f>San_Luis_Obispo!$C$164</f>
        <v>39485</v>
      </c>
      <c r="DR24" s="1168">
        <f>San_Luis_Obispo!$C$165</f>
        <v>382</v>
      </c>
      <c r="DS24" s="1168">
        <f>San_Luis_Obispo!$C$166</f>
        <v>60</v>
      </c>
      <c r="DT24" s="1168">
        <f t="shared" si="24"/>
        <v>5347</v>
      </c>
      <c r="DU24" s="1168">
        <f>San_Luis_Obispo!$C$169</f>
        <v>2734</v>
      </c>
      <c r="DV24" s="1168">
        <f>San_Luis_Obispo!$C$170</f>
        <v>2613</v>
      </c>
      <c r="DW24" s="1168">
        <f t="shared" si="25"/>
        <v>5347</v>
      </c>
      <c r="DX24" s="1168">
        <f>San_Luis_Obispo!$C$172</f>
        <v>564</v>
      </c>
      <c r="DY24" s="1168">
        <f>San_Luis_Obispo!$C$173</f>
        <v>2292</v>
      </c>
      <c r="DZ24" s="1168">
        <f>San_Luis_Obispo!$C$174</f>
        <v>2491</v>
      </c>
      <c r="EA24" s="1168">
        <f t="shared" si="26"/>
        <v>13014</v>
      </c>
      <c r="EB24" s="1168">
        <f>San_Luis_Obispo!$C$176</f>
        <v>3063</v>
      </c>
      <c r="EC24" s="1168">
        <f>San_Luis_Obispo!$C$177</f>
        <v>11</v>
      </c>
      <c r="ED24" s="1168">
        <f>San_Luis_Obispo!$C$178</f>
        <v>9940</v>
      </c>
      <c r="EE24" s="1168">
        <f t="shared" si="27"/>
        <v>11465</v>
      </c>
      <c r="EF24" s="1168">
        <f>San_Luis_Obispo!$C$181</f>
        <v>1531</v>
      </c>
      <c r="EG24" s="1168">
        <f>San_Luis_Obispo!$C$182</f>
        <v>9934</v>
      </c>
      <c r="EH24" s="1168">
        <f t="shared" si="28"/>
        <v>11465</v>
      </c>
      <c r="EI24" s="1168">
        <f>San_Luis_Obispo!$C$184</f>
        <v>3197</v>
      </c>
      <c r="EJ24" s="1168">
        <f>San_Luis_Obispo!$C$185</f>
        <v>1784</v>
      </c>
      <c r="EK24" s="1168">
        <f>San_Luis_Obispo!$C$186</f>
        <v>6484</v>
      </c>
      <c r="EL24" s="1168">
        <f t="shared" si="29"/>
        <v>10012</v>
      </c>
      <c r="EM24" s="1168">
        <f>San_Luis_Obispo!$C$188</f>
        <v>2788</v>
      </c>
      <c r="EN24" s="1168">
        <f>San_Luis_Obispo!$C$189</f>
        <v>45</v>
      </c>
      <c r="EO24" s="1168">
        <f>San_Luis_Obispo!$C$190</f>
        <v>7179</v>
      </c>
      <c r="EP24" s="1168">
        <f t="shared" si="30"/>
        <v>352</v>
      </c>
      <c r="EQ24" s="1168">
        <f>San_Luis_Obispo!$C$195</f>
        <v>332</v>
      </c>
      <c r="ER24" s="1168">
        <f>San_Luis_Obispo!$C$196</f>
        <v>4</v>
      </c>
      <c r="ES24" s="1168">
        <f>San_Luis_Obispo!$C$197</f>
        <v>16</v>
      </c>
      <c r="ET24" s="1168">
        <f t="shared" si="31"/>
        <v>11627</v>
      </c>
      <c r="EU24" s="1168">
        <f>San_Luis_Obispo!$C$199</f>
        <v>9167</v>
      </c>
      <c r="EV24" s="1168">
        <f>San_Luis_Obispo!$C$200</f>
        <v>100</v>
      </c>
      <c r="EW24" s="1168">
        <f>San_Luis_Obispo!$C$201</f>
        <v>2360</v>
      </c>
      <c r="EX24" s="1168">
        <f>San_Luis_Obispo!$C$203</f>
        <v>0</v>
      </c>
      <c r="EY24" s="1168">
        <f>San_Luis_Obispo!$C$204</f>
        <v>0</v>
      </c>
      <c r="EZ24" s="1168">
        <f>San_Luis_Obispo!$C$205</f>
        <v>16</v>
      </c>
      <c r="FA24" s="1168">
        <f>San_Luis_Obispo!$C$206</f>
        <v>862</v>
      </c>
      <c r="FB24" s="1168">
        <f>San_Luis_Obispo!$C$207</f>
        <v>145</v>
      </c>
      <c r="FC24" s="1168">
        <f t="shared" si="32"/>
        <v>753</v>
      </c>
      <c r="FD24" s="1168">
        <f>San_Luis_Obispo!$E$212</f>
        <v>275</v>
      </c>
      <c r="FE24" s="1168">
        <f>San_Luis_Obispo!$E$213</f>
        <v>260</v>
      </c>
      <c r="FF24" s="1168">
        <f>San_Luis_Obispo!$E$214</f>
        <v>40</v>
      </c>
      <c r="FG24" s="1168">
        <f>San_Luis_Obispo!$E$215</f>
        <v>40</v>
      </c>
      <c r="FH24" s="1168">
        <f>San_Luis_Obispo!$E$216</f>
        <v>1</v>
      </c>
      <c r="FI24" s="1168">
        <f>San_Luis_Obispo!$E$217</f>
        <v>0</v>
      </c>
      <c r="FJ24" s="1168">
        <f>San_Luis_Obispo!$E$218</f>
        <v>20</v>
      </c>
      <c r="FK24" s="1168">
        <f>San_Luis_Obispo!$E$219</f>
        <v>0</v>
      </c>
      <c r="FL24" s="1168">
        <f>San_Luis_Obispo!$E$220</f>
        <v>23</v>
      </c>
      <c r="FM24" s="1168">
        <f>San_Luis_Obispo!$E$221</f>
        <v>21</v>
      </c>
      <c r="FN24" s="1168">
        <f>San_Luis_Obispo!$E$222</f>
        <v>9</v>
      </c>
      <c r="FO24" s="1168">
        <f>San_Luis_Obispo!$E$223</f>
        <v>5</v>
      </c>
      <c r="FP24" s="1168">
        <f>San_Luis_Obispo!$E$224</f>
        <v>0</v>
      </c>
      <c r="FQ24" s="1168">
        <f>San_Luis_Obispo!$E$225</f>
        <v>0</v>
      </c>
      <c r="FR24" s="1168">
        <f>San_Luis_Obispo!$E$226</f>
        <v>39</v>
      </c>
      <c r="FS24" s="1168">
        <f>San_Luis_Obispo!$E$227</f>
        <v>20</v>
      </c>
      <c r="FT24" s="1168" t="str">
        <f>San_Luis_Obispo!$C$230</f>
        <v>NA</v>
      </c>
      <c r="FU24" s="1168" t="str">
        <f>San_Luis_Obispo!$C$231</f>
        <v>NA</v>
      </c>
      <c r="FV24" s="1168">
        <f>San_Luis_Obispo!$C$232</f>
        <v>309</v>
      </c>
      <c r="FW24" s="1168" t="str">
        <f>San_Luis_Obispo!$C$233</f>
        <v>NA</v>
      </c>
      <c r="FX24" s="1168">
        <f>San_Luis_Obispo!$C$234</f>
        <v>2599</v>
      </c>
      <c r="FY24" s="1168">
        <f>San_Luis_Obispo!$C$235</f>
        <v>165</v>
      </c>
      <c r="FZ24" s="135"/>
      <c r="GA24" s="1146">
        <f>San_Luis_Obispo!$C$239</f>
        <v>114</v>
      </c>
      <c r="GB24" s="1168">
        <f>San_Luis_Obispo!$C$240</f>
        <v>42136</v>
      </c>
      <c r="GC24" s="1168">
        <f>San_Luis_Obispo!$C$241</f>
        <v>135</v>
      </c>
      <c r="GD24" s="1168">
        <f t="shared" si="33"/>
        <v>523.5</v>
      </c>
      <c r="GE24" s="1168">
        <f>San_Luis_Obispo!$G$246</f>
        <v>242</v>
      </c>
      <c r="GF24" s="1168">
        <f>San_Luis_Obispo!$G$247</f>
        <v>0</v>
      </c>
      <c r="GG24" s="1168">
        <f>San_Luis_Obispo!$G$248</f>
        <v>14.5</v>
      </c>
      <c r="GH24" s="1168">
        <f>San_Luis_Obispo!$G$249</f>
        <v>29</v>
      </c>
      <c r="GI24" s="1168">
        <f>San_Luis_Obispo!$G$250</f>
        <v>92</v>
      </c>
      <c r="GJ24" s="1180">
        <f>San_Luis_Obispo!$G$251</f>
        <v>146</v>
      </c>
    </row>
    <row r="25" spans="1:192">
      <c r="A25" s="1095" t="s">
        <v>697</v>
      </c>
      <c r="B25" s="135">
        <f>San_Marcos!$C$18</f>
        <v>0</v>
      </c>
      <c r="C25" s="135">
        <f>San_Marcos!$C$19</f>
        <v>8</v>
      </c>
      <c r="D25" s="135">
        <f>San_Marcos!$C$20</f>
        <v>35</v>
      </c>
      <c r="E25" s="135">
        <f>San_Marcos!$C$21</f>
        <v>6</v>
      </c>
      <c r="F25" s="1165">
        <f>San_Marcos!$C$22</f>
        <v>11</v>
      </c>
      <c r="G25" s="1166">
        <f>San_Marcos!$C$26</f>
        <v>14.1</v>
      </c>
      <c r="H25" s="1166">
        <f>San_Marcos!$C$27</f>
        <v>12.1</v>
      </c>
      <c r="I25" s="1166">
        <f>San_Marcos!$C$28</f>
        <v>2</v>
      </c>
      <c r="J25" s="1166">
        <f>San_Marcos!$C$29</f>
        <v>0</v>
      </c>
      <c r="K25" s="1166">
        <f>San_Marcos!$C$30</f>
        <v>0</v>
      </c>
      <c r="L25" s="1166">
        <f>San_Marcos!$C$32</f>
        <v>20.25</v>
      </c>
      <c r="M25" s="1166">
        <f>San_Marcos!$C$33</f>
        <v>4</v>
      </c>
      <c r="N25" s="1166">
        <f>San_Marcos!$C$34</f>
        <v>2</v>
      </c>
      <c r="O25" s="1166">
        <f>San_Marcos!$C$35</f>
        <v>0</v>
      </c>
      <c r="P25" s="1166">
        <f>San_Marcos!$C$36</f>
        <v>0.24</v>
      </c>
      <c r="Q25" s="1166">
        <f>San_Marcos!$C$37</f>
        <v>9.86</v>
      </c>
      <c r="R25" s="1167">
        <f>San_Marcos!$C$38</f>
        <v>0.22</v>
      </c>
      <c r="S25" s="1166">
        <f>San_Marcos!$C$39</f>
        <v>50.21</v>
      </c>
      <c r="T25" s="1109">
        <f>San_Marcos!$C$44</f>
        <v>1146642.8</v>
      </c>
      <c r="U25" s="1109">
        <f>San_Marcos!$C$45</f>
        <v>911163.56</v>
      </c>
      <c r="V25" s="1109">
        <f>San_Marcos!$C$46</f>
        <v>235479.24</v>
      </c>
      <c r="W25" s="1109">
        <f>San_Marcos!$C$47</f>
        <v>0</v>
      </c>
      <c r="X25" s="1109">
        <f>San_Marcos!$C$48</f>
        <v>996114</v>
      </c>
      <c r="Y25" s="1109">
        <f>San_Marcos!$C$49</f>
        <v>747887</v>
      </c>
      <c r="Z25" s="1109">
        <f>San_Marcos!$C$50</f>
        <v>149260</v>
      </c>
      <c r="AA25" s="1109">
        <f>San_Marcos!$C$51</f>
        <v>98967</v>
      </c>
      <c r="AB25" s="1109">
        <f t="shared" si="3"/>
        <v>2142756.7999999998</v>
      </c>
      <c r="AC25" s="1109">
        <f>San_Marcos!$C$52</f>
        <v>215041</v>
      </c>
      <c r="AD25" s="1109">
        <f t="shared" si="4"/>
        <v>2357797.7999999998</v>
      </c>
      <c r="AE25" s="1109">
        <f t="shared" si="5"/>
        <v>182396</v>
      </c>
      <c r="AF25" s="1109">
        <f>San_Marcos!$C$57</f>
        <v>120879</v>
      </c>
      <c r="AG25" s="1109">
        <f>San_Marcos!$C$58</f>
        <v>17065</v>
      </c>
      <c r="AH25" s="1109">
        <f>San_Marcos!$C$59</f>
        <v>44452</v>
      </c>
      <c r="AI25" s="1109">
        <f t="shared" si="6"/>
        <v>550459</v>
      </c>
      <c r="AJ25" s="1109">
        <f>San_Marcos!$C$61</f>
        <v>207147</v>
      </c>
      <c r="AK25" s="1109">
        <f>San_Marcos!$C$62</f>
        <v>336367</v>
      </c>
      <c r="AL25" s="1109">
        <f>San_Marcos!$C$63</f>
        <v>13480</v>
      </c>
      <c r="AM25" s="1109">
        <f>San_Marcos!$C$64</f>
        <v>6325</v>
      </c>
      <c r="AN25" s="1109">
        <f>San_Marcos!$C$65</f>
        <v>620</v>
      </c>
      <c r="AO25" s="1109">
        <f>San_Marcos!$C$66</f>
        <v>0</v>
      </c>
      <c r="AP25" s="1109">
        <f t="shared" si="0"/>
        <v>9519</v>
      </c>
      <c r="AQ25" s="1109">
        <f>San_Marcos!$C$68</f>
        <v>0</v>
      </c>
      <c r="AR25" s="1109">
        <f>San_Marcos!$C$69</f>
        <v>9519</v>
      </c>
      <c r="AS25" s="1109">
        <f t="shared" si="7"/>
        <v>0</v>
      </c>
      <c r="AT25" s="1109">
        <f>San_Marcos!$C$71</f>
        <v>0</v>
      </c>
      <c r="AU25" s="1109">
        <f>San_Marcos!$C$72</f>
        <v>0</v>
      </c>
      <c r="AV25" s="1109">
        <f>San_Marcos!$C$73</f>
        <v>0</v>
      </c>
      <c r="AW25" s="1109">
        <f>San_Marcos!$C$74</f>
        <v>0</v>
      </c>
      <c r="AX25" s="1109">
        <f>San_Marcos!$C$75</f>
        <v>0</v>
      </c>
      <c r="AY25" s="1109">
        <f t="shared" si="1"/>
        <v>742374</v>
      </c>
      <c r="AZ25" s="1109">
        <f t="shared" si="8"/>
        <v>39799.07</v>
      </c>
      <c r="BA25" s="1109">
        <f>San_Marcos!$C$81</f>
        <v>13080</v>
      </c>
      <c r="BB25" s="1109">
        <f>San_Marcos!$C$82</f>
        <v>12586</v>
      </c>
      <c r="BC25" s="1109">
        <f>San_Marcos!$C$83</f>
        <v>583</v>
      </c>
      <c r="BD25" s="1109">
        <f>San_Marcos!$C$84</f>
        <v>4553</v>
      </c>
      <c r="BE25" s="1109">
        <f>San_Marcos!$C$85</f>
        <v>8997.07</v>
      </c>
      <c r="BF25" s="1109">
        <f>San_Marcos!$C$86</f>
        <v>0</v>
      </c>
      <c r="BG25" s="1109">
        <f t="shared" si="9"/>
        <v>1668</v>
      </c>
      <c r="BH25" s="1109">
        <f>San_Marcos!$C$88</f>
        <v>819</v>
      </c>
      <c r="BI25" s="1109">
        <f>San_Marcos!$C$89</f>
        <v>849</v>
      </c>
      <c r="BJ25" s="1109">
        <f>San_Marcos!$C$90</f>
        <v>0</v>
      </c>
      <c r="BK25" s="1109">
        <f>San_Marcos!$C$91</f>
        <v>22779.98</v>
      </c>
      <c r="BL25" s="1109">
        <f>San_Marcos!$C$92</f>
        <v>90329</v>
      </c>
      <c r="BM25" s="1109">
        <f>San_Marcos!$C$93</f>
        <v>17950</v>
      </c>
      <c r="BN25" s="1109">
        <f>San_Marcos!$C$94</f>
        <v>99002.5</v>
      </c>
      <c r="BO25" s="1109">
        <f t="shared" si="2"/>
        <v>3371700.3499999996</v>
      </c>
      <c r="BP25" s="1109">
        <f>San_Marcos!$C$96</f>
        <v>939560</v>
      </c>
      <c r="BQ25" s="1109">
        <f t="shared" si="10"/>
        <v>4311260.3499999996</v>
      </c>
      <c r="BR25" s="1168">
        <f t="shared" si="11"/>
        <v>294535</v>
      </c>
      <c r="BS25" s="1168">
        <f>San_Marcos!$E$104</f>
        <v>208355</v>
      </c>
      <c r="BT25" s="1168">
        <f>San_Marcos!$C$105</f>
        <v>1412</v>
      </c>
      <c r="BU25" s="1168">
        <f>San_Marcos!$C$106</f>
        <v>2679</v>
      </c>
      <c r="BV25" s="1168">
        <f>San_Marcos!$E$107</f>
        <v>27467</v>
      </c>
      <c r="BW25" s="1168">
        <f>San_Marcos!$E$108</f>
        <v>54622</v>
      </c>
      <c r="BX25" s="1168" t="str">
        <f>San_Marcos!$E$109</f>
        <v>NA</v>
      </c>
      <c r="BY25" s="1168" t="str">
        <f>San_Marcos!$E$110</f>
        <v>NA</v>
      </c>
      <c r="BZ25" s="1168">
        <f t="shared" si="12"/>
        <v>47068</v>
      </c>
      <c r="CA25" s="1168">
        <f>San_Marcos!$E$112</f>
        <v>31532</v>
      </c>
      <c r="CB25" s="1168">
        <f>San_Marcos!$E$113</f>
        <v>15536</v>
      </c>
      <c r="CC25" s="1168">
        <f t="shared" si="13"/>
        <v>39336</v>
      </c>
      <c r="CD25" s="1168">
        <f t="shared" si="14"/>
        <v>29503</v>
      </c>
      <c r="CE25" s="1168">
        <f>San_Marcos!$E$117</f>
        <v>381</v>
      </c>
      <c r="CF25" s="1168">
        <f>San_Marcos!$E$118</f>
        <v>29122</v>
      </c>
      <c r="CG25" s="1168">
        <f t="shared" si="15"/>
        <v>9833</v>
      </c>
      <c r="CH25" s="1168">
        <f>San_Marcos!$E$120</f>
        <v>0</v>
      </c>
      <c r="CI25" s="1168">
        <f>San_Marcos!$E$121</f>
        <v>5707</v>
      </c>
      <c r="CJ25" s="1168">
        <f>San_Marcos!$E$122</f>
        <v>4126</v>
      </c>
      <c r="CK25" s="1168">
        <f t="shared" si="16"/>
        <v>11990</v>
      </c>
      <c r="CL25" s="1168">
        <f>San_Marcos!$E$126</f>
        <v>3798</v>
      </c>
      <c r="CM25" s="1168">
        <f>San_Marcos!$E$127</f>
        <v>8192</v>
      </c>
      <c r="CN25" s="1168">
        <f t="shared" si="17"/>
        <v>1986616</v>
      </c>
      <c r="CO25" s="1168">
        <f>San_Marcos!$E$130</f>
        <v>984</v>
      </c>
      <c r="CP25" s="1168">
        <f>San_Marcos!$E$131</f>
        <v>19415</v>
      </c>
      <c r="CQ25" s="1168">
        <f>San_Marcos!$E$132</f>
        <v>693</v>
      </c>
      <c r="CR25" s="1168">
        <f t="shared" si="18"/>
        <v>982268</v>
      </c>
      <c r="CS25" s="1168">
        <f>San_Marcos!$E$134</f>
        <v>0</v>
      </c>
      <c r="CT25" s="1168">
        <f>San_Marcos!$E$135</f>
        <v>982268</v>
      </c>
      <c r="CU25" s="1168" t="str">
        <f>San_Marcos!$E$136</f>
        <v>NA</v>
      </c>
      <c r="CV25" s="1168" t="str">
        <f>San_Marcos!$E$138</f>
        <v>NA</v>
      </c>
      <c r="CW25" s="1168" t="str">
        <f>San_Marcos!$E$139</f>
        <v>NA</v>
      </c>
      <c r="CX25" s="1168" t="str">
        <f>San_Marcos!$E$140</f>
        <v>NA</v>
      </c>
      <c r="CY25" s="1168" t="str">
        <f>San_Marcos!$E$141</f>
        <v>***</v>
      </c>
      <c r="CZ25" s="1168">
        <f>San_Marcos!$E$142</f>
        <v>988</v>
      </c>
      <c r="DA25" s="1168" t="str">
        <f>San_Marcos!$E$143</f>
        <v>NA</v>
      </c>
      <c r="DB25" s="1168">
        <f t="shared" si="19"/>
        <v>241294</v>
      </c>
      <c r="DC25" s="1168">
        <f>San_Marcos!$C$148</f>
        <v>200463</v>
      </c>
      <c r="DD25" s="1168">
        <f>San_Marcos!$C$149</f>
        <v>40831</v>
      </c>
      <c r="DE25" s="1168">
        <f t="shared" si="20"/>
        <v>295621</v>
      </c>
      <c r="DF25" s="1168">
        <f>San_Marcos!$C$151</f>
        <v>295621</v>
      </c>
      <c r="DG25" s="1168" t="str">
        <f>San_Marcos!$C$152</f>
        <v>UNK</v>
      </c>
      <c r="DH25" s="1168">
        <f t="shared" si="21"/>
        <v>93364</v>
      </c>
      <c r="DI25" s="1168">
        <f>San_Marcos!$C$156</f>
        <v>33865</v>
      </c>
      <c r="DJ25" s="1168">
        <f>San_Marcos!$C$157</f>
        <v>10336</v>
      </c>
      <c r="DK25" s="1168">
        <f>San_Marcos!$C$158</f>
        <v>14888</v>
      </c>
      <c r="DL25" s="1168">
        <f t="shared" si="22"/>
        <v>1009</v>
      </c>
      <c r="DM25" s="1168">
        <f>San_Marcos!$C$160</f>
        <v>300</v>
      </c>
      <c r="DN25" s="1168">
        <f>San_Marcos!$C$161</f>
        <v>394</v>
      </c>
      <c r="DO25" s="1168">
        <f>San_Marcos!$C$162</f>
        <v>315</v>
      </c>
      <c r="DP25" s="1168">
        <f t="shared" si="23"/>
        <v>49163</v>
      </c>
      <c r="DQ25" s="1168">
        <f>San_Marcos!$C$164</f>
        <v>6305</v>
      </c>
      <c r="DR25" s="1168">
        <f>San_Marcos!$C$165</f>
        <v>42802</v>
      </c>
      <c r="DS25" s="1168">
        <f>San_Marcos!$C$166</f>
        <v>56</v>
      </c>
      <c r="DT25" s="1168">
        <f t="shared" si="24"/>
        <v>4822</v>
      </c>
      <c r="DU25" s="1168">
        <f>San_Marcos!$C$169</f>
        <v>2265</v>
      </c>
      <c r="DV25" s="1168">
        <f>San_Marcos!$C$170</f>
        <v>2557</v>
      </c>
      <c r="DW25" s="1168">
        <f t="shared" si="25"/>
        <v>4822</v>
      </c>
      <c r="DX25" s="1168">
        <f>San_Marcos!$C$172</f>
        <v>1983</v>
      </c>
      <c r="DY25" s="1168">
        <f>San_Marcos!$C$173</f>
        <v>372</v>
      </c>
      <c r="DZ25" s="1168">
        <f>San_Marcos!$C$174</f>
        <v>2467</v>
      </c>
      <c r="EA25" s="1168">
        <f t="shared" si="26"/>
        <v>6639</v>
      </c>
      <c r="EB25" s="1168">
        <f>San_Marcos!$C$176</f>
        <v>985</v>
      </c>
      <c r="EC25" s="1168">
        <f>San_Marcos!$C$177</f>
        <v>2669</v>
      </c>
      <c r="ED25" s="1168">
        <f>San_Marcos!$C$178</f>
        <v>2985</v>
      </c>
      <c r="EE25" s="1168">
        <f t="shared" si="27"/>
        <v>6586</v>
      </c>
      <c r="EF25" s="1168">
        <f>San_Marcos!$C$181</f>
        <v>869</v>
      </c>
      <c r="EG25" s="1168">
        <f>San_Marcos!$C$182</f>
        <v>5717</v>
      </c>
      <c r="EH25" s="1168">
        <f t="shared" si="28"/>
        <v>6586</v>
      </c>
      <c r="EI25" s="1168">
        <f>San_Marcos!$C$184</f>
        <v>3684</v>
      </c>
      <c r="EJ25" s="1168">
        <f>San_Marcos!$C$185</f>
        <v>242</v>
      </c>
      <c r="EK25" s="1168">
        <f>San_Marcos!$C$186</f>
        <v>2660</v>
      </c>
      <c r="EL25" s="1168">
        <f t="shared" si="29"/>
        <v>4273</v>
      </c>
      <c r="EM25" s="1168">
        <f>San_Marcos!$C$188</f>
        <v>919</v>
      </c>
      <c r="EN25" s="1168">
        <f>San_Marcos!$C$189</f>
        <v>2127</v>
      </c>
      <c r="EO25" s="1168">
        <f>San_Marcos!$C$190</f>
        <v>1227</v>
      </c>
      <c r="EP25" s="1168">
        <f t="shared" si="30"/>
        <v>232</v>
      </c>
      <c r="EQ25" s="1168">
        <f>San_Marcos!$C$195</f>
        <v>218</v>
      </c>
      <c r="ER25" s="1168">
        <f>San_Marcos!$C$196</f>
        <v>14</v>
      </c>
      <c r="ES25" s="1168" t="str">
        <f>San_Marcos!$C$197</f>
        <v>NA</v>
      </c>
      <c r="ET25" s="1168">
        <f t="shared" si="31"/>
        <v>6567</v>
      </c>
      <c r="EU25" s="1168">
        <f>San_Marcos!$C$199</f>
        <v>6413</v>
      </c>
      <c r="EV25" s="1168">
        <f>San_Marcos!$C$200</f>
        <v>154</v>
      </c>
      <c r="EW25" s="1168" t="str">
        <f>San_Marcos!$C$201</f>
        <v>NA</v>
      </c>
      <c r="EX25" s="1168">
        <f>San_Marcos!$C$203</f>
        <v>228.3</v>
      </c>
      <c r="EY25" s="1168">
        <f>San_Marcos!$C$204</f>
        <v>1346</v>
      </c>
      <c r="EZ25" s="1168">
        <f>San_Marcos!$C$205</f>
        <v>11</v>
      </c>
      <c r="FA25" s="1168">
        <f>San_Marcos!$C$206</f>
        <v>292</v>
      </c>
      <c r="FB25" s="1168" t="str">
        <f>San_Marcos!$C$207</f>
        <v>NA</v>
      </c>
      <c r="FC25" s="1168">
        <f t="shared" si="32"/>
        <v>688</v>
      </c>
      <c r="FD25" s="1168">
        <f>San_Marcos!$E$212</f>
        <v>284</v>
      </c>
      <c r="FE25" s="1168">
        <f>San_Marcos!$E$213</f>
        <v>82</v>
      </c>
      <c r="FF25" s="1168">
        <f>San_Marcos!$E$214</f>
        <v>36</v>
      </c>
      <c r="FG25" s="1168">
        <f>San_Marcos!$E$215</f>
        <v>36</v>
      </c>
      <c r="FH25" s="1168">
        <f>San_Marcos!$E$216</f>
        <v>0</v>
      </c>
      <c r="FI25" s="1168">
        <f>San_Marcos!$E$217</f>
        <v>0</v>
      </c>
      <c r="FJ25" s="1168">
        <f>San_Marcos!$E$218</f>
        <v>32</v>
      </c>
      <c r="FK25" s="1168">
        <f>San_Marcos!$E$219</f>
        <v>19</v>
      </c>
      <c r="FL25" s="1168">
        <f>San_Marcos!$E$220</f>
        <v>17</v>
      </c>
      <c r="FM25" s="1168">
        <f>San_Marcos!$E$221</f>
        <v>15</v>
      </c>
      <c r="FN25" s="1168">
        <f>San_Marcos!$E$222</f>
        <v>52</v>
      </c>
      <c r="FO25" s="1168">
        <f>San_Marcos!$E$223</f>
        <v>52</v>
      </c>
      <c r="FP25" s="1168">
        <f>San_Marcos!$E$224</f>
        <v>30</v>
      </c>
      <c r="FQ25" s="1168">
        <f>San_Marcos!$E$225</f>
        <v>30</v>
      </c>
      <c r="FR25" s="1168">
        <f>San_Marcos!$E$226</f>
        <v>3</v>
      </c>
      <c r="FS25" s="1168">
        <f>San_Marcos!$E$227</f>
        <v>0</v>
      </c>
      <c r="FT25" s="1168" t="str">
        <f>San_Marcos!$C$230</f>
        <v>NA</v>
      </c>
      <c r="FU25" s="1168" t="str">
        <f>San_Marcos!$C$231</f>
        <v>NA</v>
      </c>
      <c r="FV25" s="1168" t="str">
        <f>San_Marcos!$C$232</f>
        <v>NA</v>
      </c>
      <c r="FW25" s="1168" t="str">
        <f>San_Marcos!$C$233</f>
        <v>NA</v>
      </c>
      <c r="FX25" s="1168" t="str">
        <f>San_Marcos!$C$234</f>
        <v>NA</v>
      </c>
      <c r="FY25" s="1168" t="str">
        <f>San_Marcos!$C$235</f>
        <v>NA</v>
      </c>
      <c r="FZ25" s="135"/>
      <c r="GA25" s="1146">
        <f>San_Marcos!$C$239</f>
        <v>77</v>
      </c>
      <c r="GB25" s="1168">
        <f>San_Marcos!$C$240</f>
        <v>15122</v>
      </c>
      <c r="GC25" s="1168">
        <f>San_Marcos!$C$241</f>
        <v>0</v>
      </c>
      <c r="GD25" s="1168">
        <f t="shared" si="33"/>
        <v>0</v>
      </c>
      <c r="GE25" s="1168">
        <f>San_Marcos!$G$246</f>
        <v>0</v>
      </c>
      <c r="GF25" s="1168">
        <f>San_Marcos!$G$247</f>
        <v>0</v>
      </c>
      <c r="GG25" s="1168">
        <f>San_Marcos!$G$248</f>
        <v>0</v>
      </c>
      <c r="GH25" s="1168">
        <f>San_Marcos!$G$249</f>
        <v>0</v>
      </c>
      <c r="GI25" s="1168">
        <f>San_Marcos!$G$250</f>
        <v>0</v>
      </c>
      <c r="GJ25" s="1180">
        <f>San_Marcos!$G$251</f>
        <v>0</v>
      </c>
    </row>
    <row r="26" spans="1:192">
      <c r="A26" s="1095" t="s">
        <v>762</v>
      </c>
      <c r="B26" s="135">
        <f>Sonoma!$C$18</f>
        <v>1</v>
      </c>
      <c r="C26" s="135">
        <f>Sonoma!$C$19</f>
        <v>6</v>
      </c>
      <c r="D26" s="135">
        <f>Sonoma!$C$20</f>
        <v>12</v>
      </c>
      <c r="E26" s="135">
        <f>Sonoma!$C$21</f>
        <v>5</v>
      </c>
      <c r="F26" s="1165">
        <f>Sonoma!$C$22</f>
        <v>3</v>
      </c>
      <c r="G26" s="1166">
        <f>Sonoma!$C$26</f>
        <v>12.5</v>
      </c>
      <c r="H26" s="1166">
        <f>Sonoma!$C$27</f>
        <v>8.5</v>
      </c>
      <c r="I26" s="1166">
        <f>Sonoma!$C$28</f>
        <v>2</v>
      </c>
      <c r="J26" s="1166">
        <f>Sonoma!$C$29</f>
        <v>2</v>
      </c>
      <c r="K26" s="1166">
        <f>Sonoma!$C$30</f>
        <v>0</v>
      </c>
      <c r="L26" s="1166">
        <f>Sonoma!$C$32</f>
        <v>17</v>
      </c>
      <c r="M26" s="1166">
        <f>Sonoma!$C$33</f>
        <v>2</v>
      </c>
      <c r="N26" s="1166">
        <f>Sonoma!$C$34</f>
        <v>5</v>
      </c>
      <c r="O26" s="1166">
        <f>Sonoma!$C$35</f>
        <v>0</v>
      </c>
      <c r="P26" s="1166">
        <f>Sonoma!$C$36</f>
        <v>2.5</v>
      </c>
      <c r="Q26" s="1166">
        <f>Sonoma!$C$37</f>
        <v>18.5</v>
      </c>
      <c r="R26" s="1167">
        <f>Sonoma!$C$38</f>
        <v>0.4</v>
      </c>
      <c r="S26" s="1166">
        <f>Sonoma!$C$39</f>
        <v>55</v>
      </c>
      <c r="T26" s="1109">
        <f>Sonoma!$C$44</f>
        <v>1103596</v>
      </c>
      <c r="U26" s="1109">
        <f>Sonoma!$C$45</f>
        <v>736336</v>
      </c>
      <c r="V26" s="1109">
        <f>Sonoma!$C$46</f>
        <v>367260</v>
      </c>
      <c r="W26" s="1109">
        <f>Sonoma!$C$47</f>
        <v>0</v>
      </c>
      <c r="X26" s="1109">
        <f>Sonoma!$C$48</f>
        <v>1041829</v>
      </c>
      <c r="Y26" s="1109">
        <f>Sonoma!$C$49</f>
        <v>668998</v>
      </c>
      <c r="Z26" s="1109">
        <f>Sonoma!$C$50</f>
        <v>77823</v>
      </c>
      <c r="AA26" s="1109">
        <f>Sonoma!$C$51</f>
        <v>295008</v>
      </c>
      <c r="AB26" s="1109">
        <f t="shared" si="3"/>
        <v>2145425</v>
      </c>
      <c r="AC26" s="1109">
        <f>Sonoma!$C$52</f>
        <v>159459</v>
      </c>
      <c r="AD26" s="1109">
        <f t="shared" si="4"/>
        <v>2304884</v>
      </c>
      <c r="AE26" s="1109">
        <f t="shared" si="5"/>
        <v>146738.64000000001</v>
      </c>
      <c r="AF26" s="1109">
        <f>Sonoma!$C$57</f>
        <v>76199.64</v>
      </c>
      <c r="AG26" s="1109">
        <f>Sonoma!$C$58</f>
        <v>539</v>
      </c>
      <c r="AH26" s="1109">
        <f>Sonoma!$C$59</f>
        <v>70000</v>
      </c>
      <c r="AI26" s="1109">
        <f t="shared" si="6"/>
        <v>506426.82</v>
      </c>
      <c r="AJ26" s="1109">
        <f>Sonoma!$C$61</f>
        <v>30677.74</v>
      </c>
      <c r="AK26" s="1109">
        <f>Sonoma!$C$62</f>
        <v>439015.65</v>
      </c>
      <c r="AL26" s="1109">
        <f>Sonoma!$C$63</f>
        <v>439015.65</v>
      </c>
      <c r="AM26" s="1109">
        <f>Sonoma!$C$64</f>
        <v>6674.68</v>
      </c>
      <c r="AN26" s="1109">
        <f>Sonoma!$C$65</f>
        <v>29883.75</v>
      </c>
      <c r="AO26" s="1109">
        <f>Sonoma!$C$66</f>
        <v>175</v>
      </c>
      <c r="AP26" s="1109">
        <f t="shared" si="0"/>
        <v>15839.67</v>
      </c>
      <c r="AQ26" s="1109">
        <f>Sonoma!$C$68</f>
        <v>127.52</v>
      </c>
      <c r="AR26" s="1109">
        <f>Sonoma!$C$69</f>
        <v>15712.15</v>
      </c>
      <c r="AS26" s="1109">
        <f t="shared" si="7"/>
        <v>3759</v>
      </c>
      <c r="AT26" s="1109">
        <f>Sonoma!$C$71</f>
        <v>0</v>
      </c>
      <c r="AU26" s="1109">
        <f>Sonoma!$C$72</f>
        <v>0</v>
      </c>
      <c r="AV26" s="1109">
        <f>Sonoma!$C$73</f>
        <v>0</v>
      </c>
      <c r="AW26" s="1109">
        <f>Sonoma!$C$74</f>
        <v>0</v>
      </c>
      <c r="AX26" s="1109">
        <f>Sonoma!$C$75</f>
        <v>3759</v>
      </c>
      <c r="AY26" s="1109">
        <f t="shared" si="1"/>
        <v>672764.13</v>
      </c>
      <c r="AZ26" s="1109">
        <f t="shared" si="8"/>
        <v>28400</v>
      </c>
      <c r="BA26" s="1109">
        <f>Sonoma!$C$81</f>
        <v>24400</v>
      </c>
      <c r="BB26" s="1109">
        <f>Sonoma!$C$82</f>
        <v>4000</v>
      </c>
      <c r="BC26" s="1109">
        <f>Sonoma!$C$83</f>
        <v>0</v>
      </c>
      <c r="BD26" s="1109">
        <f>Sonoma!$C$84</f>
        <v>0</v>
      </c>
      <c r="BE26" s="1109">
        <f>Sonoma!$C$85</f>
        <v>0</v>
      </c>
      <c r="BF26" s="1109">
        <f>Sonoma!$C$86</f>
        <v>0</v>
      </c>
      <c r="BG26" s="1109">
        <f t="shared" si="9"/>
        <v>4900</v>
      </c>
      <c r="BH26" s="1109">
        <f>Sonoma!$C$88</f>
        <v>3450</v>
      </c>
      <c r="BI26" s="1109">
        <f>Sonoma!$C$89</f>
        <v>250</v>
      </c>
      <c r="BJ26" s="1109">
        <f>Sonoma!$C$90</f>
        <v>1200</v>
      </c>
      <c r="BK26" s="1109">
        <f>Sonoma!$C$91</f>
        <v>12000</v>
      </c>
      <c r="BL26" s="1109">
        <f>Sonoma!$C$92</f>
        <v>35420</v>
      </c>
      <c r="BM26" s="1109">
        <f>Sonoma!$C$93</f>
        <v>112866</v>
      </c>
      <c r="BN26" s="1109">
        <f>Sonoma!$C$94</f>
        <v>112766</v>
      </c>
      <c r="BO26" s="1109">
        <f t="shared" si="2"/>
        <v>3284000.13</v>
      </c>
      <c r="BP26" s="1109">
        <f>Sonoma!$C$96</f>
        <v>0</v>
      </c>
      <c r="BQ26" s="1109">
        <f t="shared" si="10"/>
        <v>3284000.13</v>
      </c>
      <c r="BR26" s="1168">
        <f t="shared" si="11"/>
        <v>580386</v>
      </c>
      <c r="BS26" s="1168">
        <f>Sonoma!$E$104</f>
        <v>470959</v>
      </c>
      <c r="BT26" s="1168">
        <f>Sonoma!$C$105</f>
        <v>2604</v>
      </c>
      <c r="BU26" s="1168">
        <f>Sonoma!$C$106</f>
        <v>422</v>
      </c>
      <c r="BV26" s="1168">
        <f>Sonoma!$E$107</f>
        <v>94041</v>
      </c>
      <c r="BW26" s="1168">
        <f>Sonoma!$E$108</f>
        <v>12360</v>
      </c>
      <c r="BX26" s="1168">
        <f>Sonoma!$E$109</f>
        <v>0</v>
      </c>
      <c r="BY26" s="1168">
        <f>Sonoma!$E$110</f>
        <v>0</v>
      </c>
      <c r="BZ26" s="1168">
        <f t="shared" si="12"/>
        <v>23623</v>
      </c>
      <c r="CA26" s="1168">
        <f>Sonoma!$E$112</f>
        <v>23623</v>
      </c>
      <c r="CB26" s="1168">
        <f>Sonoma!$E$113</f>
        <v>0</v>
      </c>
      <c r="CC26" s="1168">
        <f t="shared" si="13"/>
        <v>33246</v>
      </c>
      <c r="CD26" s="1168">
        <f t="shared" si="14"/>
        <v>33122</v>
      </c>
      <c r="CE26" s="1168">
        <f>Sonoma!$E$117</f>
        <v>765</v>
      </c>
      <c r="CF26" s="1168">
        <f>Sonoma!$E$118</f>
        <v>32357</v>
      </c>
      <c r="CG26" s="1168">
        <f t="shared" si="15"/>
        <v>124</v>
      </c>
      <c r="CH26" s="1168">
        <f>Sonoma!$E$120</f>
        <v>124</v>
      </c>
      <c r="CI26" s="1168">
        <f>Sonoma!$E$121</f>
        <v>0</v>
      </c>
      <c r="CJ26" s="1168">
        <f>Sonoma!$E$122</f>
        <v>0</v>
      </c>
      <c r="CK26" s="1168">
        <f t="shared" si="16"/>
        <v>38727</v>
      </c>
      <c r="CL26" s="1168">
        <f>Sonoma!$E$126</f>
        <v>26133</v>
      </c>
      <c r="CM26" s="1168">
        <f>Sonoma!$E$127</f>
        <v>12594</v>
      </c>
      <c r="CN26" s="1168">
        <f t="shared" si="17"/>
        <v>1890</v>
      </c>
      <c r="CO26" s="1168">
        <f>Sonoma!$E$130</f>
        <v>1890</v>
      </c>
      <c r="CP26" s="1168">
        <f>Sonoma!$E$131</f>
        <v>0</v>
      </c>
      <c r="CQ26" s="1168">
        <f>Sonoma!$E$132</f>
        <v>0</v>
      </c>
      <c r="CR26" s="1168">
        <f t="shared" si="18"/>
        <v>0</v>
      </c>
      <c r="CS26" s="1168">
        <f>Sonoma!$E$134</f>
        <v>0</v>
      </c>
      <c r="CT26" s="1168">
        <f>Sonoma!$E$135</f>
        <v>0</v>
      </c>
      <c r="CU26" s="1168">
        <f>Sonoma!$E$136</f>
        <v>0</v>
      </c>
      <c r="CV26" s="1168">
        <f>Sonoma!$E$138</f>
        <v>0</v>
      </c>
      <c r="CW26" s="1168">
        <f>Sonoma!$E$139</f>
        <v>0</v>
      </c>
      <c r="CX26" s="1168">
        <f>Sonoma!$E$140</f>
        <v>0</v>
      </c>
      <c r="CY26" s="1168" t="str">
        <f>Sonoma!$E$141</f>
        <v>***</v>
      </c>
      <c r="CZ26" s="1168">
        <f>Sonoma!$E$142</f>
        <v>0</v>
      </c>
      <c r="DA26" s="1168">
        <f>Sonoma!$E$143</f>
        <v>0</v>
      </c>
      <c r="DB26" s="1168">
        <f t="shared" si="19"/>
        <v>1493232</v>
      </c>
      <c r="DC26" s="1168">
        <f>Sonoma!$C$148</f>
        <v>869945</v>
      </c>
      <c r="DD26" s="1168">
        <f>Sonoma!$C$149</f>
        <v>623287</v>
      </c>
      <c r="DE26" s="1168">
        <f t="shared" si="20"/>
        <v>886273</v>
      </c>
      <c r="DF26" s="1168">
        <f>Sonoma!$C$151</f>
        <v>333491</v>
      </c>
      <c r="DG26" s="1168">
        <f>Sonoma!$C$152</f>
        <v>552782</v>
      </c>
      <c r="DH26" s="1168">
        <f t="shared" si="21"/>
        <v>243182</v>
      </c>
      <c r="DI26" s="1168">
        <f>Sonoma!$C$156</f>
        <v>177853</v>
      </c>
      <c r="DJ26" s="1168">
        <f>Sonoma!$C$157</f>
        <v>39041</v>
      </c>
      <c r="DK26" s="1168">
        <f>Sonoma!$C$158</f>
        <v>19767</v>
      </c>
      <c r="DL26" s="1168">
        <f t="shared" si="22"/>
        <v>5809</v>
      </c>
      <c r="DM26" s="1168">
        <f>Sonoma!$C$160</f>
        <v>5809</v>
      </c>
      <c r="DN26" s="1168" t="str">
        <f>Sonoma!$C$161</f>
        <v>unk</v>
      </c>
      <c r="DO26" s="1168" t="str">
        <f>Sonoma!$C$162</f>
        <v>unk</v>
      </c>
      <c r="DP26" s="1168">
        <f t="shared" si="23"/>
        <v>26288</v>
      </c>
      <c r="DQ26" s="1168">
        <f>Sonoma!$C$164</f>
        <v>26288</v>
      </c>
      <c r="DR26" s="1168" t="str">
        <f>Sonoma!$C$165</f>
        <v>unk</v>
      </c>
      <c r="DS26" s="1168" t="str">
        <f>Sonoma!$C$166</f>
        <v>unk</v>
      </c>
      <c r="DT26" s="1168">
        <f t="shared" si="24"/>
        <v>6193</v>
      </c>
      <c r="DU26" s="1168">
        <f>Sonoma!$C$169</f>
        <v>4243</v>
      </c>
      <c r="DV26" s="1168">
        <f>Sonoma!$C$170</f>
        <v>1950</v>
      </c>
      <c r="DW26" s="1168">
        <f t="shared" si="25"/>
        <v>6193</v>
      </c>
      <c r="DX26" s="1168">
        <f>Sonoma!$C$172</f>
        <v>2614</v>
      </c>
      <c r="DY26" s="1168">
        <f>Sonoma!$C$173</f>
        <v>403</v>
      </c>
      <c r="DZ26" s="1168">
        <f>Sonoma!$C$174</f>
        <v>3176</v>
      </c>
      <c r="EA26" s="1168">
        <f t="shared" si="26"/>
        <v>7031</v>
      </c>
      <c r="EB26" s="1168">
        <f>Sonoma!$C$176</f>
        <v>2200</v>
      </c>
      <c r="EC26" s="1168">
        <f>Sonoma!$C$177</f>
        <v>5</v>
      </c>
      <c r="ED26" s="1168">
        <f>Sonoma!$C$178</f>
        <v>4826</v>
      </c>
      <c r="EE26" s="1168">
        <f t="shared" si="27"/>
        <v>2697</v>
      </c>
      <c r="EF26" s="1168">
        <f>Sonoma!$C$181</f>
        <v>393</v>
      </c>
      <c r="EG26" s="1168">
        <f>Sonoma!$C$182</f>
        <v>2304</v>
      </c>
      <c r="EH26" s="1168">
        <f t="shared" si="28"/>
        <v>2697</v>
      </c>
      <c r="EI26" s="1168">
        <f>Sonoma!$C$184</f>
        <v>1241</v>
      </c>
      <c r="EJ26" s="1168">
        <f>Sonoma!$C$185</f>
        <v>55</v>
      </c>
      <c r="EK26" s="1168">
        <f>Sonoma!$C$186</f>
        <v>1401</v>
      </c>
      <c r="EL26" s="1168">
        <f t="shared" si="29"/>
        <v>9057</v>
      </c>
      <c r="EM26" s="1168">
        <f>Sonoma!$C$188</f>
        <v>3369</v>
      </c>
      <c r="EN26" s="1168">
        <f>Sonoma!$C$189</f>
        <v>51</v>
      </c>
      <c r="EO26" s="1168">
        <f>Sonoma!$C$190</f>
        <v>5637</v>
      </c>
      <c r="EP26" s="1168">
        <f t="shared" si="30"/>
        <v>275</v>
      </c>
      <c r="EQ26" s="1168">
        <f>Sonoma!$C$195</f>
        <v>251</v>
      </c>
      <c r="ER26" s="1168">
        <f>Sonoma!$C$196</f>
        <v>0</v>
      </c>
      <c r="ES26" s="1168">
        <f>Sonoma!$C$197</f>
        <v>24</v>
      </c>
      <c r="ET26" s="1168">
        <f t="shared" si="31"/>
        <v>8299</v>
      </c>
      <c r="EU26" s="1168">
        <f>Sonoma!$C$199</f>
        <v>4499</v>
      </c>
      <c r="EV26" s="1168">
        <f>Sonoma!$C$200</f>
        <v>0</v>
      </c>
      <c r="EW26" s="1168">
        <f>Sonoma!$C$201</f>
        <v>3800</v>
      </c>
      <c r="EX26" s="1168">
        <f>Sonoma!$C$203</f>
        <v>0</v>
      </c>
      <c r="EY26" s="1168">
        <f>Sonoma!$C$204</f>
        <v>0</v>
      </c>
      <c r="EZ26" s="1168">
        <f>Sonoma!$C$205</f>
        <v>60</v>
      </c>
      <c r="FA26" s="1168">
        <f>Sonoma!$C$206</f>
        <v>240</v>
      </c>
      <c r="FB26" s="1168">
        <f>Sonoma!$C$207</f>
        <v>20</v>
      </c>
      <c r="FC26" s="1168">
        <f t="shared" si="32"/>
        <v>226</v>
      </c>
      <c r="FD26" s="1168">
        <f>Sonoma!$E$212</f>
        <v>148</v>
      </c>
      <c r="FE26" s="1168">
        <f>Sonoma!$E$213</f>
        <v>0</v>
      </c>
      <c r="FF26" s="1168">
        <f>Sonoma!$E$214</f>
        <v>45</v>
      </c>
      <c r="FG26" s="1168">
        <f>Sonoma!$E$215</f>
        <v>0</v>
      </c>
      <c r="FH26" s="1168">
        <f>Sonoma!$E$216</f>
        <v>0</v>
      </c>
      <c r="FI26" s="1168">
        <f>Sonoma!$E$217</f>
        <v>0</v>
      </c>
      <c r="FJ26" s="1168">
        <f>Sonoma!$E$218</f>
        <v>10</v>
      </c>
      <c r="FK26" s="1168">
        <f>Sonoma!$E$219</f>
        <v>0</v>
      </c>
      <c r="FL26" s="1168">
        <f>Sonoma!$E$220</f>
        <v>18</v>
      </c>
      <c r="FM26" s="1168">
        <f>Sonoma!$E$221</f>
        <v>0</v>
      </c>
      <c r="FN26" s="1168">
        <f>Sonoma!$E$222</f>
        <v>0</v>
      </c>
      <c r="FO26" s="1168">
        <f>Sonoma!$E$223</f>
        <v>0</v>
      </c>
      <c r="FP26" s="1168">
        <f>Sonoma!$E$224</f>
        <v>0</v>
      </c>
      <c r="FQ26" s="1168">
        <f>Sonoma!$E$225</f>
        <v>0</v>
      </c>
      <c r="FR26" s="1168">
        <f>Sonoma!$E$226</f>
        <v>5</v>
      </c>
      <c r="FS26" s="1168">
        <f>Sonoma!$E$227</f>
        <v>0</v>
      </c>
      <c r="FT26" s="1168">
        <f>Sonoma!$C$230</f>
        <v>3120</v>
      </c>
      <c r="FU26" s="1168">
        <f>Sonoma!$C$231</f>
        <v>0</v>
      </c>
      <c r="FV26" s="1168">
        <f>Sonoma!$C$232</f>
        <v>135</v>
      </c>
      <c r="FW26" s="1168">
        <f>Sonoma!$C$233</f>
        <v>0</v>
      </c>
      <c r="FX26" s="1168">
        <f>Sonoma!$C$234</f>
        <v>780</v>
      </c>
      <c r="FY26" s="1168">
        <f>Sonoma!$C$235</f>
        <v>0</v>
      </c>
      <c r="FZ26" s="135"/>
      <c r="GA26" s="1146">
        <f>Sonoma!$C$239</f>
        <v>92</v>
      </c>
      <c r="GB26" s="1168">
        <f>Sonoma!$C$240</f>
        <v>4840</v>
      </c>
      <c r="GC26" s="1168">
        <f>Sonoma!$C$241</f>
        <v>60</v>
      </c>
      <c r="GD26" s="1168">
        <f t="shared" si="33"/>
        <v>1227</v>
      </c>
      <c r="GE26" s="1168">
        <f>Sonoma!$G$246</f>
        <v>273</v>
      </c>
      <c r="GF26" s="1168">
        <f>Sonoma!$G$247</f>
        <v>13</v>
      </c>
      <c r="GG26" s="1168">
        <f>Sonoma!$G$248</f>
        <v>14</v>
      </c>
      <c r="GH26" s="1168">
        <f>Sonoma!$G$249</f>
        <v>9</v>
      </c>
      <c r="GI26" s="1168">
        <f>Sonoma!$G$250</f>
        <v>9</v>
      </c>
      <c r="GJ26" s="1180">
        <f>Sonoma!$G$251</f>
        <v>909</v>
      </c>
    </row>
    <row r="27" spans="1:192">
      <c r="A27" s="1095" t="s">
        <v>763</v>
      </c>
      <c r="B27" s="135">
        <f>Stanislaus!$C$18</f>
        <v>1</v>
      </c>
      <c r="C27" s="135">
        <f>Stanislaus!$C$19</f>
        <v>0</v>
      </c>
      <c r="D27" s="135">
        <f>Stanislaus!$C$20</f>
        <v>8</v>
      </c>
      <c r="E27" s="135">
        <f>Stanislaus!$C$21</f>
        <v>0</v>
      </c>
      <c r="F27" s="1165">
        <f>Stanislaus!$C$22</f>
        <v>3</v>
      </c>
      <c r="G27" s="1166">
        <f>Stanislaus!$C$26</f>
        <v>9.5</v>
      </c>
      <c r="H27" s="1166">
        <f>Stanislaus!$C$27</f>
        <v>8.5</v>
      </c>
      <c r="I27" s="1166">
        <f>Stanislaus!$C$28</f>
        <v>0.5</v>
      </c>
      <c r="J27" s="1166">
        <f>Stanislaus!$C$29</f>
        <v>0.5</v>
      </c>
      <c r="K27" s="1166">
        <f>Stanislaus!$C$30</f>
        <v>16</v>
      </c>
      <c r="L27" s="1166">
        <f>Stanislaus!$C$32</f>
        <v>13</v>
      </c>
      <c r="M27" s="1166">
        <f>Stanislaus!$C$33</f>
        <v>1</v>
      </c>
      <c r="N27" s="1166">
        <f>Stanislaus!$C$34</f>
        <v>2</v>
      </c>
      <c r="O27" s="1166">
        <f>Stanislaus!$C$35</f>
        <v>0</v>
      </c>
      <c r="P27" s="1166">
        <f>Stanislaus!$C$36</f>
        <v>0.25</v>
      </c>
      <c r="Q27" s="1166">
        <f>Stanislaus!$C$37</f>
        <v>6.2</v>
      </c>
      <c r="R27" s="1167">
        <f>Stanislaus!$C$38</f>
        <v>0.8</v>
      </c>
      <c r="S27" s="1166">
        <f>Stanislaus!$C$39</f>
        <v>31.7</v>
      </c>
      <c r="T27" s="1109">
        <f>Stanislaus!$C$44</f>
        <v>669112</v>
      </c>
      <c r="U27" s="1109">
        <f>Stanislaus!$C$45</f>
        <v>612674</v>
      </c>
      <c r="V27" s="1109">
        <f>Stanislaus!$C$46</f>
        <v>56438</v>
      </c>
      <c r="W27" s="1109">
        <f>Stanislaus!$C$47</f>
        <v>0</v>
      </c>
      <c r="X27" s="1109">
        <f>Stanislaus!$C$48</f>
        <v>672297</v>
      </c>
      <c r="Y27" s="1109">
        <f>Stanislaus!$C$49</f>
        <v>516531</v>
      </c>
      <c r="Z27" s="1109">
        <f>Stanislaus!$C$50</f>
        <v>41454</v>
      </c>
      <c r="AA27" s="1109">
        <f>Stanislaus!$C$51</f>
        <v>114312</v>
      </c>
      <c r="AB27" s="1109">
        <f t="shared" si="3"/>
        <v>1341409</v>
      </c>
      <c r="AC27" s="1109">
        <f>Stanislaus!$C$52</f>
        <v>102947</v>
      </c>
      <c r="AD27" s="1109">
        <f t="shared" si="4"/>
        <v>1444356</v>
      </c>
      <c r="AE27" s="1109">
        <f t="shared" si="5"/>
        <v>43636</v>
      </c>
      <c r="AF27" s="1109">
        <f>Stanislaus!$C$57</f>
        <v>43636</v>
      </c>
      <c r="AG27" s="1109">
        <f>Stanislaus!$C$58</f>
        <v>0</v>
      </c>
      <c r="AH27" s="1109">
        <f>Stanislaus!$C$59</f>
        <v>0</v>
      </c>
      <c r="AI27" s="1109">
        <f t="shared" si="6"/>
        <v>660107</v>
      </c>
      <c r="AJ27" s="1109">
        <f>Stanislaus!$C$61</f>
        <v>214696</v>
      </c>
      <c r="AK27" s="1109">
        <f>Stanislaus!$C$62</f>
        <v>434672</v>
      </c>
      <c r="AL27" s="1109">
        <f>Stanislaus!$C$63</f>
        <v>85976</v>
      </c>
      <c r="AM27" s="1109">
        <f>Stanislaus!$C$64</f>
        <v>7992</v>
      </c>
      <c r="AN27" s="1109">
        <f>Stanislaus!$C$65</f>
        <v>691</v>
      </c>
      <c r="AO27" s="1109">
        <f>Stanislaus!$C$66</f>
        <v>2056</v>
      </c>
      <c r="AP27" s="1109">
        <f t="shared" si="0"/>
        <v>18158</v>
      </c>
      <c r="AQ27" s="1109">
        <f>Stanislaus!$C$68</f>
        <v>21</v>
      </c>
      <c r="AR27" s="1109">
        <f>Stanislaus!$C$69</f>
        <v>18137</v>
      </c>
      <c r="AS27" s="1109">
        <f t="shared" si="7"/>
        <v>0</v>
      </c>
      <c r="AT27" s="1109">
        <f>Stanislaus!$C$71</f>
        <v>0</v>
      </c>
      <c r="AU27" s="1109">
        <f>Stanislaus!$C$72</f>
        <v>0</v>
      </c>
      <c r="AV27" s="1109">
        <f>Stanislaus!$C$73</f>
        <v>0</v>
      </c>
      <c r="AW27" s="1109">
        <f>Stanislaus!$C$74</f>
        <v>0</v>
      </c>
      <c r="AX27" s="1109">
        <f>Stanislaus!$C$75</f>
        <v>0</v>
      </c>
      <c r="AY27" s="1109">
        <f t="shared" si="1"/>
        <v>721901</v>
      </c>
      <c r="AZ27" s="1109">
        <f t="shared" si="8"/>
        <v>18732</v>
      </c>
      <c r="BA27" s="1109">
        <f>Stanislaus!$C$81</f>
        <v>18563</v>
      </c>
      <c r="BB27" s="1169" t="str">
        <f>Stanislaus!$C$82</f>
        <v>NA</v>
      </c>
      <c r="BC27" s="1170">
        <f>Stanislaus!$C$83</f>
        <v>169</v>
      </c>
      <c r="BD27" s="1170">
        <f>Stanislaus!$C$84</f>
        <v>0</v>
      </c>
      <c r="BE27" s="1170">
        <f>Stanislaus!$C$85</f>
        <v>0</v>
      </c>
      <c r="BF27" s="1170">
        <f>Stanislaus!$C$86</f>
        <v>0</v>
      </c>
      <c r="BG27" s="1109">
        <f t="shared" si="9"/>
        <v>8550</v>
      </c>
      <c r="BH27" s="1170">
        <f>Stanislaus!$C$88</f>
        <v>1830</v>
      </c>
      <c r="BI27" s="1170">
        <f>Stanislaus!$C$89</f>
        <v>6720</v>
      </c>
      <c r="BJ27" s="1170">
        <f>Stanislaus!$C$90</f>
        <v>0</v>
      </c>
      <c r="BK27" s="1170">
        <f>Stanislaus!$C$91</f>
        <v>4224</v>
      </c>
      <c r="BL27" s="1170">
        <f>Stanislaus!$C$92</f>
        <v>210037</v>
      </c>
      <c r="BM27" s="1170">
        <f>Stanislaus!$C$93</f>
        <v>37638</v>
      </c>
      <c r="BN27" s="1170">
        <f>Stanislaus!$C$94</f>
        <v>72581</v>
      </c>
      <c r="BO27" s="1109">
        <f t="shared" si="2"/>
        <v>2518019</v>
      </c>
      <c r="BP27" s="1170">
        <f>Stanislaus!$C$96</f>
        <v>0</v>
      </c>
      <c r="BQ27" s="1109">
        <f t="shared" si="10"/>
        <v>2518019</v>
      </c>
      <c r="BR27" s="1168">
        <f t="shared" si="11"/>
        <v>500501</v>
      </c>
      <c r="BS27" s="1171">
        <f>Stanislaus!$E$104</f>
        <v>361294</v>
      </c>
      <c r="BT27" s="1171">
        <f>Stanislaus!$C$105</f>
        <v>2462</v>
      </c>
      <c r="BU27" s="1171">
        <f>Stanislaus!$C$106</f>
        <v>1188</v>
      </c>
      <c r="BV27" s="1171">
        <f>Stanislaus!$E$107</f>
        <v>10284</v>
      </c>
      <c r="BW27" s="1171">
        <f>Stanislaus!$E$108</f>
        <v>6620</v>
      </c>
      <c r="BX27" s="1171">
        <f>Stanislaus!$E$109</f>
        <v>0</v>
      </c>
      <c r="BY27" s="1171">
        <f>Stanislaus!$E$110</f>
        <v>118653</v>
      </c>
      <c r="BZ27" s="1168">
        <f t="shared" si="12"/>
        <v>7617</v>
      </c>
      <c r="CA27" s="1171">
        <f>Stanislaus!$E$112</f>
        <v>7267</v>
      </c>
      <c r="CB27" s="1171">
        <f>Stanislaus!$E$113</f>
        <v>350</v>
      </c>
      <c r="CC27" s="1168">
        <f t="shared" si="13"/>
        <v>37067</v>
      </c>
      <c r="CD27" s="1168">
        <f t="shared" si="14"/>
        <v>31646</v>
      </c>
      <c r="CE27" s="1171">
        <f>Stanislaus!$E$117</f>
        <v>669</v>
      </c>
      <c r="CF27" s="1171">
        <f>Stanislaus!$E$118</f>
        <v>30977</v>
      </c>
      <c r="CG27" s="1168">
        <f t="shared" si="15"/>
        <v>5421</v>
      </c>
      <c r="CH27" s="1171">
        <f>Stanislaus!$E$120</f>
        <v>167</v>
      </c>
      <c r="CI27" s="1171">
        <f>Stanislaus!$E$121</f>
        <v>4793</v>
      </c>
      <c r="CJ27" s="1171">
        <f>Stanislaus!$E$122</f>
        <v>461</v>
      </c>
      <c r="CK27" s="1168">
        <f t="shared" si="16"/>
        <v>5527</v>
      </c>
      <c r="CL27" s="1171">
        <f>Stanislaus!$E$126</f>
        <v>2236</v>
      </c>
      <c r="CM27" s="1171">
        <f>Stanislaus!$E$127</f>
        <v>3291</v>
      </c>
      <c r="CN27" s="1168">
        <f t="shared" si="17"/>
        <v>2113854</v>
      </c>
      <c r="CO27" s="1171">
        <f>Stanislaus!$E$121</f>
        <v>4793</v>
      </c>
      <c r="CP27" s="1171">
        <f>Stanislaus!$E$121</f>
        <v>4793</v>
      </c>
      <c r="CQ27" s="1171">
        <f>Stanislaus!$E$121</f>
        <v>4793</v>
      </c>
      <c r="CR27" s="1168">
        <f t="shared" si="18"/>
        <v>1042776</v>
      </c>
      <c r="CS27" s="1171" t="str">
        <f>Stanislaus!$E$134</f>
        <v>NA</v>
      </c>
      <c r="CT27" s="1171">
        <f>Stanislaus!$E$135</f>
        <v>1042776</v>
      </c>
      <c r="CU27" s="1171">
        <f>Stanislaus!$E$121</f>
        <v>4793</v>
      </c>
      <c r="CV27" s="1171">
        <f>Stanislaus!$E$138</f>
        <v>1</v>
      </c>
      <c r="CW27" s="1171">
        <f>Stanislaus!$E$139</f>
        <v>260</v>
      </c>
      <c r="CX27" s="1171">
        <f>Stanislaus!$E$140</f>
        <v>8321</v>
      </c>
      <c r="CY27" s="1171" t="str">
        <f>Stanislaus!$E$141</f>
        <v>***</v>
      </c>
      <c r="CZ27" s="1171">
        <f>Stanislaus!$E$142</f>
        <v>199</v>
      </c>
      <c r="DA27" s="1171">
        <f>Stanislaus!$E$143</f>
        <v>349</v>
      </c>
      <c r="DB27" s="1168">
        <f t="shared" si="19"/>
        <v>593470</v>
      </c>
      <c r="DC27" s="1171">
        <f>Stanislaus!$C$148</f>
        <v>593470</v>
      </c>
      <c r="DD27" s="1171" t="str">
        <f>Stanislaus!$C$149</f>
        <v>NA</v>
      </c>
      <c r="DE27" s="1168">
        <f t="shared" si="20"/>
        <v>778066</v>
      </c>
      <c r="DF27" s="1171">
        <f>Stanislaus!$C$151</f>
        <v>225083</v>
      </c>
      <c r="DG27" s="1171">
        <f>Stanislaus!$C$152</f>
        <v>552983</v>
      </c>
      <c r="DH27" s="1168">
        <f t="shared" si="21"/>
        <v>66887</v>
      </c>
      <c r="DI27" s="1171">
        <f>Stanislaus!$C$156</f>
        <v>53029</v>
      </c>
      <c r="DJ27" s="1171" t="str">
        <f>Stanislaus!$C$157</f>
        <v>NA</v>
      </c>
      <c r="DK27" s="1171">
        <f>Stanislaus!$C$158</f>
        <v>7198</v>
      </c>
      <c r="DL27" s="1168">
        <f t="shared" si="22"/>
        <v>1295</v>
      </c>
      <c r="DM27" s="1171" t="str">
        <f>Stanislaus!$C$160</f>
        <v>NA</v>
      </c>
      <c r="DN27" s="1171">
        <f>Stanislaus!$C$161</f>
        <v>1295</v>
      </c>
      <c r="DO27" s="1171" t="str">
        <f>Stanislaus!$C$162</f>
        <v>NA</v>
      </c>
      <c r="DP27" s="1168">
        <f t="shared" si="23"/>
        <v>13858</v>
      </c>
      <c r="DQ27" s="1171">
        <f>Stanislaus!$C$164</f>
        <v>13858</v>
      </c>
      <c r="DR27" s="1171">
        <f>Stanislaus!$C$165</f>
        <v>0</v>
      </c>
      <c r="DS27" s="1171" t="str">
        <f>Stanislaus!$C$166</f>
        <v>NA</v>
      </c>
      <c r="DT27" s="1168">
        <f t="shared" si="24"/>
        <v>4821</v>
      </c>
      <c r="DU27" s="1171">
        <f>Stanislaus!$C$169</f>
        <v>1624</v>
      </c>
      <c r="DV27" s="1171">
        <f>Stanislaus!$C$170</f>
        <v>3197</v>
      </c>
      <c r="DW27" s="1168">
        <f t="shared" si="25"/>
        <v>4821</v>
      </c>
      <c r="DX27" s="1171">
        <f>Stanislaus!$C$172</f>
        <v>2367</v>
      </c>
      <c r="DY27" s="1171">
        <f>Stanislaus!$C$173</f>
        <v>243</v>
      </c>
      <c r="DZ27" s="1171">
        <f>Stanislaus!$C$174</f>
        <v>2211</v>
      </c>
      <c r="EA27" s="1168">
        <f t="shared" si="26"/>
        <v>3215</v>
      </c>
      <c r="EB27" s="1171">
        <f>Stanislaus!$C$176</f>
        <v>888</v>
      </c>
      <c r="EC27" s="1171">
        <f>Stanislaus!$C$177</f>
        <v>1</v>
      </c>
      <c r="ED27" s="1171">
        <f>Stanislaus!$C$178</f>
        <v>2326</v>
      </c>
      <c r="EE27" s="1168">
        <f t="shared" si="27"/>
        <v>3553</v>
      </c>
      <c r="EF27" s="1171">
        <f>Stanislaus!$C$181</f>
        <v>1008</v>
      </c>
      <c r="EG27" s="1171">
        <f>Stanislaus!$C$182</f>
        <v>2545</v>
      </c>
      <c r="EH27" s="1168">
        <f t="shared" si="28"/>
        <v>3553</v>
      </c>
      <c r="EI27" s="1171">
        <f>Stanislaus!$C$184</f>
        <v>1770</v>
      </c>
      <c r="EJ27" s="1171">
        <f>Stanislaus!$C$185</f>
        <v>127</v>
      </c>
      <c r="EK27" s="1171">
        <f>Stanislaus!$C$186</f>
        <v>1656</v>
      </c>
      <c r="EL27" s="1168">
        <f t="shared" si="29"/>
        <v>3730</v>
      </c>
      <c r="EM27" s="1171">
        <f>Stanislaus!$C$188</f>
        <v>252</v>
      </c>
      <c r="EN27" s="1171">
        <f>Stanislaus!$C$189</f>
        <v>9</v>
      </c>
      <c r="EO27" s="1171">
        <f>Stanislaus!$C$190</f>
        <v>3469</v>
      </c>
      <c r="EP27" s="1168">
        <f t="shared" si="30"/>
        <v>145</v>
      </c>
      <c r="EQ27" s="1171">
        <f>Stanislaus!$C$195</f>
        <v>141</v>
      </c>
      <c r="ER27" s="1171">
        <f>Stanislaus!$C$196</f>
        <v>0</v>
      </c>
      <c r="ES27" s="1171">
        <f>Stanislaus!$C$197</f>
        <v>4</v>
      </c>
      <c r="ET27" s="1168">
        <f t="shared" si="31"/>
        <v>3915</v>
      </c>
      <c r="EU27" s="1171">
        <f>Stanislaus!$C$199</f>
        <v>3710</v>
      </c>
      <c r="EV27" s="1171">
        <f>Stanislaus!$C$200</f>
        <v>0</v>
      </c>
      <c r="EW27" s="1171">
        <f>Stanislaus!$C$201</f>
        <v>205</v>
      </c>
      <c r="EX27" s="1171">
        <f>Stanislaus!$C$203</f>
        <v>54</v>
      </c>
      <c r="EY27" s="1171">
        <f>Stanislaus!$C$204</f>
        <v>51</v>
      </c>
      <c r="EZ27" s="1171">
        <f>Stanislaus!$C$205</f>
        <v>4</v>
      </c>
      <c r="FA27" s="1171">
        <f>Stanislaus!$C$206</f>
        <v>133</v>
      </c>
      <c r="FB27" s="1171">
        <f>Stanislaus!$C$207</f>
        <v>33</v>
      </c>
      <c r="FC27" s="1168">
        <f t="shared" si="32"/>
        <v>163</v>
      </c>
      <c r="FD27" s="1171">
        <f>Stanislaus!$E$212</f>
        <v>59</v>
      </c>
      <c r="FE27" s="1171">
        <f>Stanislaus!$E$213</f>
        <v>46</v>
      </c>
      <c r="FF27" s="1171">
        <f>Stanislaus!$E$214</f>
        <v>14</v>
      </c>
      <c r="FG27" s="1171">
        <f>Stanislaus!$E$215</f>
        <v>14</v>
      </c>
      <c r="FH27" s="1171">
        <f>Stanislaus!$E$216</f>
        <v>0</v>
      </c>
      <c r="FI27" s="1171">
        <f>Stanislaus!$E$217</f>
        <v>0</v>
      </c>
      <c r="FJ27" s="1171">
        <f>Stanislaus!$E$218</f>
        <v>12</v>
      </c>
      <c r="FK27" s="1171">
        <f>Stanislaus!$E$219</f>
        <v>0</v>
      </c>
      <c r="FL27" s="1171">
        <f>Stanislaus!$E$220</f>
        <v>9</v>
      </c>
      <c r="FM27" s="1171">
        <f>Stanislaus!$E$221</f>
        <v>3</v>
      </c>
      <c r="FN27" s="1171">
        <f>Stanislaus!$E$222</f>
        <v>0</v>
      </c>
      <c r="FO27" s="1171">
        <f>Stanislaus!$E$223</f>
        <v>0</v>
      </c>
      <c r="FP27" s="1171">
        <f>Stanislaus!$E$224</f>
        <v>0</v>
      </c>
      <c r="FQ27" s="1171">
        <f>Stanislaus!$E$225</f>
        <v>0</v>
      </c>
      <c r="FR27" s="1171">
        <f>Stanislaus!$E$226</f>
        <v>6</v>
      </c>
      <c r="FS27" s="1171">
        <f>Stanislaus!$E$227</f>
        <v>0</v>
      </c>
      <c r="FT27" s="1171">
        <f>Stanislaus!$C$230</f>
        <v>25234</v>
      </c>
      <c r="FU27" s="1171">
        <f>Stanislaus!$C$231</f>
        <v>0</v>
      </c>
      <c r="FV27" s="1171">
        <f>Stanislaus!$C$232</f>
        <v>0</v>
      </c>
      <c r="FW27" s="1171">
        <f>Stanislaus!$C$233</f>
        <v>0</v>
      </c>
      <c r="FX27" s="1171">
        <f>Stanislaus!$C$234</f>
        <v>31012</v>
      </c>
      <c r="FY27" s="1171">
        <f>Stanislaus!$C$235</f>
        <v>0</v>
      </c>
      <c r="FZ27" s="135"/>
      <c r="GA27" s="1147">
        <f>Stanislaus!$C$239</f>
        <v>76</v>
      </c>
      <c r="GB27" s="1171">
        <f>Stanislaus!$C$240</f>
        <v>8732</v>
      </c>
      <c r="GC27" s="1171">
        <f>Stanislaus!$C$241</f>
        <v>59</v>
      </c>
      <c r="GD27" s="1168">
        <f t="shared" si="33"/>
        <v>680</v>
      </c>
      <c r="GE27" s="1171">
        <f>Stanislaus!$G$246</f>
        <v>174</v>
      </c>
      <c r="GF27" s="1171">
        <f>Stanislaus!$G$247</f>
        <v>0</v>
      </c>
      <c r="GG27" s="1171">
        <f>Stanislaus!$G$248</f>
        <v>6</v>
      </c>
      <c r="GH27" s="1171">
        <f>Stanislaus!$G$249</f>
        <v>9</v>
      </c>
      <c r="GI27" s="1171">
        <f>Stanislaus!$G$250</f>
        <v>2</v>
      </c>
      <c r="GJ27" s="1181">
        <f>Stanislaus!$G$251</f>
        <v>489</v>
      </c>
    </row>
    <row r="28" spans="1:192" ht="14.25" customHeight="1" thickBot="1">
      <c r="A28" s="773" t="s">
        <v>764</v>
      </c>
      <c r="B28" s="1175" t="s">
        <v>378</v>
      </c>
      <c r="C28" s="1175" t="s">
        <v>378</v>
      </c>
      <c r="D28" s="1175" t="s">
        <v>378</v>
      </c>
      <c r="E28" s="1175" t="s">
        <v>378</v>
      </c>
      <c r="F28" s="1175" t="s">
        <v>378</v>
      </c>
      <c r="G28" s="1175" t="s">
        <v>378</v>
      </c>
      <c r="H28" s="1175" t="s">
        <v>378</v>
      </c>
      <c r="I28" s="1175" t="s">
        <v>378</v>
      </c>
      <c r="J28" s="1175" t="s">
        <v>378</v>
      </c>
      <c r="K28" s="1175" t="s">
        <v>378</v>
      </c>
      <c r="L28" s="1175" t="s">
        <v>378</v>
      </c>
      <c r="M28" s="1175" t="s">
        <v>378</v>
      </c>
      <c r="N28" s="1175" t="s">
        <v>378</v>
      </c>
      <c r="O28" s="1175" t="s">
        <v>378</v>
      </c>
      <c r="P28" s="1175" t="s">
        <v>378</v>
      </c>
      <c r="Q28" s="1175" t="s">
        <v>378</v>
      </c>
      <c r="R28" s="1175" t="s">
        <v>378</v>
      </c>
      <c r="S28" s="1175" t="s">
        <v>378</v>
      </c>
      <c r="T28" s="1176" t="s">
        <v>378</v>
      </c>
      <c r="U28" s="1176" t="s">
        <v>378</v>
      </c>
      <c r="V28" s="1176" t="s">
        <v>378</v>
      </c>
      <c r="W28" s="1176" t="s">
        <v>378</v>
      </c>
      <c r="X28" s="1176" t="s">
        <v>378</v>
      </c>
      <c r="Y28" s="1176" t="s">
        <v>378</v>
      </c>
      <c r="Z28" s="1176" t="s">
        <v>378</v>
      </c>
      <c r="AA28" s="1176" t="s">
        <v>378</v>
      </c>
      <c r="AB28" s="1157">
        <f t="shared" ref="AB28" si="34">SUM(T28:AA28)</f>
        <v>0</v>
      </c>
      <c r="AC28" s="1176" t="s">
        <v>378</v>
      </c>
      <c r="AD28" s="1157">
        <f t="shared" si="4"/>
        <v>0</v>
      </c>
      <c r="AE28" s="1157">
        <f t="shared" si="5"/>
        <v>0</v>
      </c>
      <c r="AF28" s="1176" t="s">
        <v>378</v>
      </c>
      <c r="AG28" s="1176" t="s">
        <v>378</v>
      </c>
      <c r="AH28" s="1176" t="s">
        <v>378</v>
      </c>
      <c r="AI28" s="1151">
        <v>4910000</v>
      </c>
      <c r="AJ28" s="1176" t="s">
        <v>378</v>
      </c>
      <c r="AK28" s="1177">
        <v>4150809.47</v>
      </c>
      <c r="AL28" s="1177">
        <v>529798</v>
      </c>
      <c r="AM28" s="1176" t="s">
        <v>378</v>
      </c>
      <c r="AN28" s="1153">
        <v>165470</v>
      </c>
      <c r="AO28" s="1176" t="s">
        <v>378</v>
      </c>
      <c r="AP28" s="1157">
        <f t="shared" si="0"/>
        <v>0</v>
      </c>
      <c r="AQ28" s="1176" t="s">
        <v>378</v>
      </c>
      <c r="AR28" s="1176" t="s">
        <v>378</v>
      </c>
      <c r="AS28" s="1157">
        <f t="shared" si="7"/>
        <v>0</v>
      </c>
      <c r="AT28" s="1176" t="s">
        <v>378</v>
      </c>
      <c r="AU28" s="1176" t="s">
        <v>378</v>
      </c>
      <c r="AV28" s="1176" t="s">
        <v>378</v>
      </c>
      <c r="AW28" s="1176" t="s">
        <v>378</v>
      </c>
      <c r="AX28" s="1176" t="s">
        <v>378</v>
      </c>
      <c r="AY28" s="1157">
        <f t="shared" si="1"/>
        <v>4910000</v>
      </c>
      <c r="AZ28" s="1157">
        <f t="shared" si="8"/>
        <v>175000</v>
      </c>
      <c r="BA28" s="1176" t="s">
        <v>378</v>
      </c>
      <c r="BB28" s="1154">
        <v>175000</v>
      </c>
      <c r="BC28" s="1176" t="s">
        <v>378</v>
      </c>
      <c r="BD28" s="1176" t="s">
        <v>378</v>
      </c>
      <c r="BE28" s="1176" t="s">
        <v>378</v>
      </c>
      <c r="BF28" s="1176" t="s">
        <v>378</v>
      </c>
      <c r="BG28" s="1157">
        <f t="shared" si="9"/>
        <v>0</v>
      </c>
      <c r="BH28" s="1176" t="s">
        <v>378</v>
      </c>
      <c r="BI28" s="1176" t="s">
        <v>378</v>
      </c>
      <c r="BJ28" s="1176" t="s">
        <v>378</v>
      </c>
      <c r="BK28" s="1176" t="s">
        <v>378</v>
      </c>
      <c r="BL28" s="1176" t="s">
        <v>378</v>
      </c>
      <c r="BM28" s="1176" t="s">
        <v>378</v>
      </c>
      <c r="BN28" s="1176" t="s">
        <v>378</v>
      </c>
      <c r="BO28" s="1157">
        <f t="shared" si="2"/>
        <v>5085000</v>
      </c>
      <c r="BP28" s="1176" t="s">
        <v>378</v>
      </c>
      <c r="BQ28" s="1157">
        <f t="shared" si="10"/>
        <v>5085000</v>
      </c>
      <c r="BR28" s="1159">
        <f t="shared" si="11"/>
        <v>0</v>
      </c>
      <c r="BS28" s="1178" t="s">
        <v>378</v>
      </c>
      <c r="BT28" s="1178" t="s">
        <v>378</v>
      </c>
      <c r="BU28" s="1178" t="s">
        <v>378</v>
      </c>
      <c r="BV28" s="1178" t="s">
        <v>378</v>
      </c>
      <c r="BW28" s="1178" t="s">
        <v>378</v>
      </c>
      <c r="BX28" s="1178" t="s">
        <v>378</v>
      </c>
      <c r="BY28" s="1178" t="s">
        <v>378</v>
      </c>
      <c r="BZ28" s="1159">
        <f t="shared" si="12"/>
        <v>0</v>
      </c>
      <c r="CA28" s="1178" t="s">
        <v>378</v>
      </c>
      <c r="CB28" s="1178" t="s">
        <v>378</v>
      </c>
      <c r="CC28" s="1159">
        <f t="shared" si="13"/>
        <v>0</v>
      </c>
      <c r="CD28" s="1159">
        <f t="shared" si="14"/>
        <v>0</v>
      </c>
      <c r="CE28" s="1178" t="s">
        <v>378</v>
      </c>
      <c r="CF28" s="1178" t="s">
        <v>378</v>
      </c>
      <c r="CG28" s="1159">
        <f t="shared" si="15"/>
        <v>0</v>
      </c>
      <c r="CH28" s="1178" t="s">
        <v>378</v>
      </c>
      <c r="CI28" s="1178" t="s">
        <v>378</v>
      </c>
      <c r="CJ28" s="1178" t="s">
        <v>378</v>
      </c>
      <c r="CK28" s="1159">
        <f t="shared" si="16"/>
        <v>0</v>
      </c>
      <c r="CL28" s="1178" t="s">
        <v>378</v>
      </c>
      <c r="CM28" s="1178" t="s">
        <v>378</v>
      </c>
      <c r="CN28" s="1159">
        <f t="shared" si="17"/>
        <v>0</v>
      </c>
      <c r="CO28" s="1178" t="s">
        <v>378</v>
      </c>
      <c r="CP28" s="1178" t="s">
        <v>378</v>
      </c>
      <c r="CQ28" s="1178" t="s">
        <v>378</v>
      </c>
      <c r="CR28" s="1159">
        <f t="shared" si="18"/>
        <v>0</v>
      </c>
      <c r="CS28" s="1178" t="s">
        <v>378</v>
      </c>
      <c r="CT28" s="1178" t="s">
        <v>378</v>
      </c>
      <c r="CU28" s="1178" t="s">
        <v>378</v>
      </c>
      <c r="CV28" s="1178" t="s">
        <v>378</v>
      </c>
      <c r="CW28" s="1178" t="s">
        <v>378</v>
      </c>
      <c r="CX28" s="1178" t="s">
        <v>378</v>
      </c>
      <c r="CY28" s="1178" t="s">
        <v>378</v>
      </c>
      <c r="CZ28" s="1178" t="s">
        <v>378</v>
      </c>
      <c r="DA28" s="1178" t="s">
        <v>378</v>
      </c>
      <c r="DB28" s="1159">
        <f t="shared" si="19"/>
        <v>0</v>
      </c>
      <c r="DC28" s="1178" t="s">
        <v>378</v>
      </c>
      <c r="DD28" s="1178" t="s">
        <v>378</v>
      </c>
      <c r="DE28" s="1159">
        <f t="shared" si="20"/>
        <v>0</v>
      </c>
      <c r="DF28" s="1178" t="s">
        <v>378</v>
      </c>
      <c r="DG28" s="1178" t="s">
        <v>378</v>
      </c>
      <c r="DH28" s="1159">
        <f t="shared" si="21"/>
        <v>0</v>
      </c>
      <c r="DI28" s="1178" t="s">
        <v>378</v>
      </c>
      <c r="DJ28" s="1178" t="s">
        <v>378</v>
      </c>
      <c r="DK28" s="1178" t="s">
        <v>378</v>
      </c>
      <c r="DL28" s="1159">
        <f t="shared" si="22"/>
        <v>0</v>
      </c>
      <c r="DM28" s="1178" t="s">
        <v>378</v>
      </c>
      <c r="DN28" s="1178" t="s">
        <v>378</v>
      </c>
      <c r="DO28" s="1178" t="s">
        <v>378</v>
      </c>
      <c r="DP28" s="1159">
        <f t="shared" si="23"/>
        <v>0</v>
      </c>
      <c r="DQ28" s="1178" t="s">
        <v>378</v>
      </c>
      <c r="DR28" s="1178" t="s">
        <v>378</v>
      </c>
      <c r="DS28" s="1178" t="s">
        <v>378</v>
      </c>
      <c r="DT28" s="1159">
        <f t="shared" si="24"/>
        <v>0</v>
      </c>
      <c r="DU28" s="1178" t="s">
        <v>378</v>
      </c>
      <c r="DV28" s="1178" t="s">
        <v>378</v>
      </c>
      <c r="DW28" s="1159">
        <f t="shared" si="25"/>
        <v>0</v>
      </c>
      <c r="DX28" s="1178" t="s">
        <v>378</v>
      </c>
      <c r="DY28" s="1178" t="s">
        <v>378</v>
      </c>
      <c r="DZ28" s="1178" t="s">
        <v>378</v>
      </c>
      <c r="EA28" s="1159">
        <f t="shared" si="26"/>
        <v>0</v>
      </c>
      <c r="EB28" s="1178" t="s">
        <v>378</v>
      </c>
      <c r="EC28" s="1178" t="s">
        <v>378</v>
      </c>
      <c r="ED28" s="1178" t="s">
        <v>378</v>
      </c>
      <c r="EE28" s="1159">
        <f t="shared" si="27"/>
        <v>0</v>
      </c>
      <c r="EF28" s="1178" t="s">
        <v>378</v>
      </c>
      <c r="EG28" s="1178" t="s">
        <v>378</v>
      </c>
      <c r="EH28" s="1159">
        <f t="shared" si="28"/>
        <v>0</v>
      </c>
      <c r="EI28" s="1178" t="s">
        <v>378</v>
      </c>
      <c r="EJ28" s="1178" t="s">
        <v>378</v>
      </c>
      <c r="EK28" s="1178" t="s">
        <v>378</v>
      </c>
      <c r="EL28" s="1159">
        <f t="shared" si="29"/>
        <v>0</v>
      </c>
      <c r="EM28" s="1178" t="s">
        <v>378</v>
      </c>
      <c r="EN28" s="1178" t="s">
        <v>378</v>
      </c>
      <c r="EO28" s="1178" t="s">
        <v>378</v>
      </c>
      <c r="EP28" s="1159">
        <f t="shared" si="30"/>
        <v>0</v>
      </c>
      <c r="EQ28" s="1178" t="s">
        <v>378</v>
      </c>
      <c r="ER28" s="1178" t="s">
        <v>378</v>
      </c>
      <c r="ES28" s="1178" t="s">
        <v>378</v>
      </c>
      <c r="ET28" s="1159">
        <f t="shared" si="31"/>
        <v>0</v>
      </c>
      <c r="EU28" s="1178" t="s">
        <v>378</v>
      </c>
      <c r="EV28" s="1178" t="s">
        <v>378</v>
      </c>
      <c r="EW28" s="1178" t="s">
        <v>378</v>
      </c>
      <c r="EX28" s="1178" t="s">
        <v>378</v>
      </c>
      <c r="EY28" s="1178" t="s">
        <v>378</v>
      </c>
      <c r="EZ28" s="1178" t="s">
        <v>378</v>
      </c>
      <c r="FA28" s="1178" t="s">
        <v>378</v>
      </c>
      <c r="FB28" s="1178" t="s">
        <v>378</v>
      </c>
      <c r="FC28" s="1159">
        <f t="shared" si="32"/>
        <v>0</v>
      </c>
      <c r="FD28" s="1178" t="s">
        <v>378</v>
      </c>
      <c r="FE28" s="1178" t="s">
        <v>378</v>
      </c>
      <c r="FF28" s="1178" t="s">
        <v>378</v>
      </c>
      <c r="FG28" s="1178" t="s">
        <v>378</v>
      </c>
      <c r="FH28" s="1178" t="s">
        <v>378</v>
      </c>
      <c r="FI28" s="1178" t="s">
        <v>378</v>
      </c>
      <c r="FJ28" s="1178" t="s">
        <v>378</v>
      </c>
      <c r="FK28" s="1178" t="s">
        <v>378</v>
      </c>
      <c r="FL28" s="1178" t="s">
        <v>378</v>
      </c>
      <c r="FM28" s="1178" t="s">
        <v>378</v>
      </c>
      <c r="FN28" s="1178" t="s">
        <v>378</v>
      </c>
      <c r="FO28" s="1178" t="s">
        <v>378</v>
      </c>
      <c r="FP28" s="1178" t="s">
        <v>378</v>
      </c>
      <c r="FQ28" s="1178" t="s">
        <v>378</v>
      </c>
      <c r="FR28" s="1178" t="s">
        <v>378</v>
      </c>
      <c r="FS28" s="1178" t="s">
        <v>378</v>
      </c>
      <c r="FT28" s="1178" t="s">
        <v>378</v>
      </c>
      <c r="FU28" s="1178" t="s">
        <v>378</v>
      </c>
      <c r="FV28" s="1178" t="s">
        <v>378</v>
      </c>
      <c r="FW28" s="1178" t="s">
        <v>378</v>
      </c>
      <c r="FX28" s="1178" t="s">
        <v>378</v>
      </c>
      <c r="FY28" s="1178" t="s">
        <v>378</v>
      </c>
      <c r="FZ28" s="1161"/>
      <c r="GA28" s="1148" t="s">
        <v>378</v>
      </c>
      <c r="GB28" s="1178" t="s">
        <v>378</v>
      </c>
      <c r="GC28" s="1178" t="s">
        <v>378</v>
      </c>
      <c r="GD28" s="1159">
        <f t="shared" si="33"/>
        <v>0</v>
      </c>
      <c r="GE28" s="1178" t="s">
        <v>378</v>
      </c>
      <c r="GF28" s="1178" t="s">
        <v>378</v>
      </c>
      <c r="GG28" s="1178" t="s">
        <v>378</v>
      </c>
      <c r="GH28" s="1178" t="s">
        <v>378</v>
      </c>
      <c r="GI28" s="1178" t="s">
        <v>378</v>
      </c>
      <c r="GJ28" s="1182" t="s">
        <v>378</v>
      </c>
    </row>
    <row r="29" spans="1:192" s="1143" customFormat="1" ht="15.75" thickBot="1">
      <c r="A29" s="1150" t="s">
        <v>626</v>
      </c>
      <c r="B29" s="1183">
        <f>SUM(B5:B28)</f>
        <v>8</v>
      </c>
      <c r="C29" s="1135">
        <f t="shared" ref="C29:V29" si="35">SUM(C5:C28)</f>
        <v>123</v>
      </c>
      <c r="D29" s="1135">
        <f t="shared" si="35"/>
        <v>506</v>
      </c>
      <c r="E29" s="1135">
        <f t="shared" si="35"/>
        <v>78</v>
      </c>
      <c r="F29" s="1135">
        <f t="shared" si="35"/>
        <v>128</v>
      </c>
      <c r="G29" s="1135">
        <f t="shared" si="35"/>
        <v>394.28000000000003</v>
      </c>
      <c r="H29" s="1135">
        <f t="shared" si="35"/>
        <v>327.79</v>
      </c>
      <c r="I29" s="1135">
        <f t="shared" si="35"/>
        <v>36.83</v>
      </c>
      <c r="J29" s="1135">
        <f t="shared" si="35"/>
        <v>28.66</v>
      </c>
      <c r="K29" s="1135">
        <f t="shared" si="35"/>
        <v>17</v>
      </c>
      <c r="L29" s="1135">
        <f t="shared" si="35"/>
        <v>433.75000000000006</v>
      </c>
      <c r="M29" s="1135">
        <f t="shared" si="35"/>
        <v>144.54</v>
      </c>
      <c r="N29" s="1135">
        <f t="shared" si="35"/>
        <v>75.069999999999993</v>
      </c>
      <c r="O29" s="1135">
        <f t="shared" si="35"/>
        <v>3</v>
      </c>
      <c r="P29" s="1135">
        <f t="shared" si="35"/>
        <v>14.209999999999999</v>
      </c>
      <c r="Q29" s="1135">
        <f t="shared" si="35"/>
        <v>447.19480000000004</v>
      </c>
      <c r="R29" s="1156">
        <f>MEDIAN(R5:R27)</f>
        <v>0.2</v>
      </c>
      <c r="S29" s="1135">
        <f t="shared" si="35"/>
        <v>1496.8348000000001</v>
      </c>
      <c r="T29" s="1136">
        <f t="shared" si="35"/>
        <v>30280143.020000003</v>
      </c>
      <c r="U29" s="1136">
        <f t="shared" si="35"/>
        <v>24320375.510000002</v>
      </c>
      <c r="V29" s="1136">
        <f t="shared" si="35"/>
        <v>5884327.5099999998</v>
      </c>
      <c r="W29" s="1136">
        <f>SUM(W5:W28)</f>
        <v>75440</v>
      </c>
      <c r="X29" s="1136">
        <f>SUM(X5:X28)</f>
        <v>27564541.150000002</v>
      </c>
      <c r="Y29" s="1136">
        <f>SUM(Y5:Y28)</f>
        <v>17404101.75</v>
      </c>
      <c r="Z29" s="1136">
        <f>SUM(Z5:Z28)</f>
        <v>5926756.2999999998</v>
      </c>
      <c r="AA29" s="1136">
        <f>SUM(AA5:AA28)</f>
        <v>4233083.0999999996</v>
      </c>
      <c r="AB29" s="1158">
        <f>SUM(T29,X29)</f>
        <v>57844684.170000002</v>
      </c>
      <c r="AC29" s="1136">
        <f>SUM(AC5:AC28)</f>
        <v>6311554.9400000004</v>
      </c>
      <c r="AD29" s="1138">
        <f t="shared" si="4"/>
        <v>64156239.109999999</v>
      </c>
      <c r="AE29" s="1137">
        <f t="shared" si="5"/>
        <v>5162133.1900000004</v>
      </c>
      <c r="AF29" s="1136">
        <f>SUM(AF5:AF28)</f>
        <v>3788836.6600000006</v>
      </c>
      <c r="AG29" s="1136">
        <f>SUM(AG5:AG28)</f>
        <v>562860</v>
      </c>
      <c r="AH29" s="1136">
        <f>SUM(AH5:AH28)</f>
        <v>810436.53</v>
      </c>
      <c r="AI29" s="1137">
        <f>SUM(AJ29+AK29+AM29+AN29+AO29)</f>
        <v>27103106.320000004</v>
      </c>
      <c r="AJ29" s="1136">
        <f t="shared" ref="AJ29:AO29" si="36">SUM(AJ5:AJ28)</f>
        <v>5783943.9000000004</v>
      </c>
      <c r="AK29" s="1136">
        <f t="shared" si="36"/>
        <v>20410893.550000001</v>
      </c>
      <c r="AL29" s="1136">
        <f t="shared" si="36"/>
        <v>6573055.6799999997</v>
      </c>
      <c r="AM29" s="1136">
        <f t="shared" si="36"/>
        <v>362632.12</v>
      </c>
      <c r="AN29" s="1152">
        <f t="shared" si="36"/>
        <v>528818.75</v>
      </c>
      <c r="AO29" s="1136">
        <f t="shared" si="36"/>
        <v>16818</v>
      </c>
      <c r="AP29" s="1137">
        <f t="shared" si="0"/>
        <v>333028.40000000002</v>
      </c>
      <c r="AQ29" s="1136">
        <f>SUM(AQ5:AQ28)</f>
        <v>63397.52</v>
      </c>
      <c r="AR29" s="1136">
        <f>SUM(AR5:AR28)</f>
        <v>269630.88</v>
      </c>
      <c r="AS29" s="1137">
        <f t="shared" si="7"/>
        <v>13586</v>
      </c>
      <c r="AT29" s="1136">
        <f>SUM(AT5:AT28)</f>
        <v>3459</v>
      </c>
      <c r="AU29" s="1136">
        <f>SUM(AU5:AU28)</f>
        <v>3263</v>
      </c>
      <c r="AV29" s="1136">
        <f>SUM(AV5:AV28)</f>
        <v>741</v>
      </c>
      <c r="AW29" s="1136">
        <f>SUM(AW5:AW28)</f>
        <v>1878</v>
      </c>
      <c r="AX29" s="1136">
        <f>SUM(AX5:AX28)</f>
        <v>4245</v>
      </c>
      <c r="AY29" s="1138">
        <f t="shared" si="1"/>
        <v>32611853.910000004</v>
      </c>
      <c r="AZ29" s="1137">
        <f t="shared" si="8"/>
        <v>1242261.17</v>
      </c>
      <c r="BA29" s="1136">
        <f t="shared" ref="BA29:BF29" si="37">SUM(BA5:BA28)</f>
        <v>396627</v>
      </c>
      <c r="BB29" s="1155">
        <f t="shared" si="37"/>
        <v>462841.51</v>
      </c>
      <c r="BC29" s="1136">
        <f t="shared" si="37"/>
        <v>188003.95</v>
      </c>
      <c r="BD29" s="1136">
        <f t="shared" si="37"/>
        <v>27605</v>
      </c>
      <c r="BE29" s="1136">
        <f t="shared" si="37"/>
        <v>167183.71</v>
      </c>
      <c r="BF29" s="1136">
        <f t="shared" si="37"/>
        <v>373790</v>
      </c>
      <c r="BG29" s="1137">
        <f t="shared" si="9"/>
        <v>421999.11</v>
      </c>
      <c r="BH29" s="1136">
        <f t="shared" ref="BH29:BN29" si="38">SUM(BH5:BH28)</f>
        <v>79318.61</v>
      </c>
      <c r="BI29" s="1136">
        <f t="shared" si="38"/>
        <v>245671.84999999998</v>
      </c>
      <c r="BJ29" s="1136">
        <f t="shared" si="38"/>
        <v>97008.65</v>
      </c>
      <c r="BK29" s="1136">
        <f t="shared" si="38"/>
        <v>1538866.14</v>
      </c>
      <c r="BL29" s="1136">
        <f t="shared" si="38"/>
        <v>3974100.43</v>
      </c>
      <c r="BM29" s="1136">
        <f t="shared" si="38"/>
        <v>1688753.24</v>
      </c>
      <c r="BN29" s="1136">
        <f t="shared" si="38"/>
        <v>3508309.1100000003</v>
      </c>
      <c r="BO29" s="1138">
        <f t="shared" si="2"/>
        <v>109516172.22000001</v>
      </c>
      <c r="BP29" s="1136">
        <f>SUM(BP5:BP28)</f>
        <v>6989207</v>
      </c>
      <c r="BQ29" s="1138">
        <f t="shared" si="10"/>
        <v>116505379.22000001</v>
      </c>
      <c r="BR29" s="1139" t="e">
        <f t="shared" si="11"/>
        <v>#REF!</v>
      </c>
      <c r="BS29" s="1140" t="e">
        <f t="shared" ref="BS29:BY29" si="39">SUM(BS5:BS28)</f>
        <v>#REF!</v>
      </c>
      <c r="BT29" s="1140">
        <f t="shared" si="39"/>
        <v>90760</v>
      </c>
      <c r="BU29" s="1140">
        <f t="shared" si="39"/>
        <v>33669</v>
      </c>
      <c r="BV29" s="1140">
        <f t="shared" si="39"/>
        <v>2259463</v>
      </c>
      <c r="BW29" s="1140">
        <f t="shared" si="39"/>
        <v>434514</v>
      </c>
      <c r="BX29" s="1140">
        <f t="shared" si="39"/>
        <v>167798</v>
      </c>
      <c r="BY29" s="1140">
        <f t="shared" si="39"/>
        <v>1079598</v>
      </c>
      <c r="BZ29" s="1139">
        <f t="shared" si="12"/>
        <v>1876868</v>
      </c>
      <c r="CA29" s="1140">
        <f>SUM(CA5:CA28)</f>
        <v>1041822</v>
      </c>
      <c r="CB29" s="1140">
        <f>SUM(CB5:CB28)</f>
        <v>835046</v>
      </c>
      <c r="CC29" s="1141">
        <f t="shared" si="13"/>
        <v>1164869</v>
      </c>
      <c r="CD29" s="1139">
        <f t="shared" si="14"/>
        <v>847404</v>
      </c>
      <c r="CE29" s="1140">
        <f>SUM(CE5:CE28)</f>
        <v>23343</v>
      </c>
      <c r="CF29" s="1140">
        <f>SUM(CF5:CF28)</f>
        <v>824061</v>
      </c>
      <c r="CG29" s="1139">
        <f t="shared" si="15"/>
        <v>317465</v>
      </c>
      <c r="CH29" s="1140">
        <f>SUM(CH5:CH28)</f>
        <v>1355</v>
      </c>
      <c r="CI29" s="1140">
        <f>SUM(CI5:CI28)</f>
        <v>251396</v>
      </c>
      <c r="CJ29" s="1140">
        <f>SUM(CJ5:CJ28)</f>
        <v>64714</v>
      </c>
      <c r="CK29" s="1139">
        <f t="shared" si="16"/>
        <v>620322</v>
      </c>
      <c r="CL29" s="1140">
        <f>SUM(CL5:CL28)</f>
        <v>317023</v>
      </c>
      <c r="CM29" s="1140">
        <f>SUM(CM5:CM28)</f>
        <v>303299</v>
      </c>
      <c r="CN29" s="1139">
        <f t="shared" si="17"/>
        <v>43747892.589999996</v>
      </c>
      <c r="CO29" s="1140">
        <f t="shared" ref="CO29:DA29" si="40">SUM(CO5:CO28)</f>
        <v>551578</v>
      </c>
      <c r="CP29" s="1140">
        <f t="shared" si="40"/>
        <v>556864</v>
      </c>
      <c r="CQ29" s="1140">
        <f t="shared" si="40"/>
        <v>180538.12999999998</v>
      </c>
      <c r="CR29" s="1139">
        <f t="shared" si="18"/>
        <v>19398277</v>
      </c>
      <c r="CS29" s="1140">
        <f t="shared" si="40"/>
        <v>10151636</v>
      </c>
      <c r="CT29" s="1140">
        <f t="shared" si="40"/>
        <v>9246641</v>
      </c>
      <c r="CU29" s="1140">
        <f t="shared" si="40"/>
        <v>1385423</v>
      </c>
      <c r="CV29" s="1140">
        <f t="shared" si="40"/>
        <v>165</v>
      </c>
      <c r="CW29" s="1140">
        <f t="shared" si="40"/>
        <v>206267</v>
      </c>
      <c r="CX29" s="1140">
        <f t="shared" si="40"/>
        <v>10635.46</v>
      </c>
      <c r="CY29" s="1140">
        <f t="shared" si="40"/>
        <v>327489</v>
      </c>
      <c r="CZ29" s="1140">
        <f t="shared" si="40"/>
        <v>49307</v>
      </c>
      <c r="DA29" s="1140">
        <f t="shared" si="40"/>
        <v>1683072</v>
      </c>
      <c r="DB29" s="1139">
        <f t="shared" si="19"/>
        <v>59414067</v>
      </c>
      <c r="DC29" s="1140">
        <f>SUM(DC5:DC28)</f>
        <v>30833112</v>
      </c>
      <c r="DD29" s="1140">
        <f>SUM(DD5:DD28)</f>
        <v>28580955</v>
      </c>
      <c r="DE29" s="1139">
        <f t="shared" si="20"/>
        <v>28507451</v>
      </c>
      <c r="DF29" s="1140">
        <f>SUM(DF5:DF28)</f>
        <v>7898325</v>
      </c>
      <c r="DG29" s="1140">
        <f>SUM(DG5:DG28)</f>
        <v>20609126</v>
      </c>
      <c r="DH29" s="1139">
        <f t="shared" si="21"/>
        <v>4506924</v>
      </c>
      <c r="DI29" s="1142">
        <f>SUM(DI5:DI28)</f>
        <v>2353837</v>
      </c>
      <c r="DJ29" s="1140">
        <f>SUM(DJ5:DJ28)</f>
        <v>731716</v>
      </c>
      <c r="DK29" s="1140">
        <f>SUM(DK5:DK28)</f>
        <v>1306412</v>
      </c>
      <c r="DL29" s="1139">
        <f t="shared" si="22"/>
        <v>263096</v>
      </c>
      <c r="DM29" s="1140">
        <f>SUM(DM5:DM28)</f>
        <v>10504</v>
      </c>
      <c r="DN29" s="1140">
        <f>SUM(DN5:DN28)</f>
        <v>135880</v>
      </c>
      <c r="DO29" s="1140">
        <f>SUM(DO5:DO28)</f>
        <v>116712</v>
      </c>
      <c r="DP29" s="1139">
        <f t="shared" si="23"/>
        <v>1421371</v>
      </c>
      <c r="DQ29" s="1140">
        <f>SUM(DQ5:DQ28)</f>
        <v>385190</v>
      </c>
      <c r="DR29" s="1140">
        <f>SUM(DR5:DR28)</f>
        <v>1002248</v>
      </c>
      <c r="DS29" s="1140">
        <f>SUM(DS5:DS28)</f>
        <v>33933</v>
      </c>
      <c r="DT29" s="1139">
        <f t="shared" si="24"/>
        <v>183690</v>
      </c>
      <c r="DU29" s="1140">
        <f>SUM(DU5:DU28)</f>
        <v>95396</v>
      </c>
      <c r="DV29" s="1140">
        <f>SUM(DV5:DV28)</f>
        <v>88294</v>
      </c>
      <c r="DW29" s="1139">
        <f t="shared" si="25"/>
        <v>159546</v>
      </c>
      <c r="DX29" s="1140">
        <f>SUM(DX5:DX28)</f>
        <v>75675</v>
      </c>
      <c r="DY29" s="1140">
        <f>SUM(DY5:DY28)</f>
        <v>13758</v>
      </c>
      <c r="DZ29" s="1140">
        <f>SUM(DZ5:DZ28)</f>
        <v>70113</v>
      </c>
      <c r="EA29" s="1139">
        <f t="shared" si="26"/>
        <v>171307</v>
      </c>
      <c r="EB29" s="1140">
        <f>SUM(EB5:EB28)</f>
        <v>37778</v>
      </c>
      <c r="EC29" s="1140">
        <f>SUM(EC5:EC28)</f>
        <v>6956</v>
      </c>
      <c r="ED29" s="1140">
        <f>SUM(ED5:ED28)</f>
        <v>126573</v>
      </c>
      <c r="EE29" s="1139">
        <f t="shared" si="27"/>
        <v>216323</v>
      </c>
      <c r="EF29" s="1140">
        <f>SUM(EF5:EF28)</f>
        <v>84474</v>
      </c>
      <c r="EG29" s="1140">
        <f>SUM(EG5:EG28)</f>
        <v>131849</v>
      </c>
      <c r="EH29" s="1139">
        <f t="shared" si="28"/>
        <v>180139</v>
      </c>
      <c r="EI29" s="1140">
        <f>SUM(EI5:EI28)</f>
        <v>74693</v>
      </c>
      <c r="EJ29" s="1140">
        <f>SUM(EJ5:EJ28)</f>
        <v>14044</v>
      </c>
      <c r="EK29" s="1140">
        <f>SUM(EK5:EK28)</f>
        <v>91402</v>
      </c>
      <c r="EL29" s="1139">
        <f t="shared" si="29"/>
        <v>137099</v>
      </c>
      <c r="EM29" s="1140">
        <f>SUM(EM5:EM28)</f>
        <v>35325</v>
      </c>
      <c r="EN29" s="1140">
        <f>SUM(EN5:EN28)</f>
        <v>6680</v>
      </c>
      <c r="EO29" s="1140">
        <f>SUM(EO5:EO28)</f>
        <v>95094</v>
      </c>
      <c r="EP29" s="1139">
        <f t="shared" si="30"/>
        <v>9155</v>
      </c>
      <c r="EQ29" s="1140">
        <f>SUM(EQ5:EQ28)</f>
        <v>6687</v>
      </c>
      <c r="ER29" s="1140">
        <f>SUM(ER5:ER28)</f>
        <v>2202</v>
      </c>
      <c r="ES29" s="1140">
        <f>SUM(ES5:ES28)</f>
        <v>266</v>
      </c>
      <c r="ET29" s="1139">
        <f t="shared" si="31"/>
        <v>192389</v>
      </c>
      <c r="EU29" s="1140">
        <f t="shared" ref="EU29:FB29" si="41">SUM(EU5:EU28)</f>
        <v>174418</v>
      </c>
      <c r="EV29" s="1140">
        <f t="shared" si="41"/>
        <v>4744</v>
      </c>
      <c r="EW29" s="1140">
        <f t="shared" si="41"/>
        <v>13227</v>
      </c>
      <c r="EX29" s="1140">
        <f t="shared" si="41"/>
        <v>2813.8</v>
      </c>
      <c r="EY29" s="1140">
        <f t="shared" si="41"/>
        <v>2808</v>
      </c>
      <c r="EZ29" s="1140">
        <f t="shared" si="41"/>
        <v>1440</v>
      </c>
      <c r="FA29" s="1140">
        <f t="shared" si="41"/>
        <v>22707</v>
      </c>
      <c r="FB29" s="1140">
        <f t="shared" si="41"/>
        <v>1556</v>
      </c>
      <c r="FC29" s="1139">
        <f t="shared" si="32"/>
        <v>9889</v>
      </c>
      <c r="FD29" s="1140">
        <f t="shared" ref="FD29:FY29" si="42">SUM(FD5:FD28)</f>
        <v>4593</v>
      </c>
      <c r="FE29" s="1140">
        <f t="shared" si="42"/>
        <v>1518</v>
      </c>
      <c r="FF29" s="1140">
        <f t="shared" si="42"/>
        <v>1334</v>
      </c>
      <c r="FG29" s="1140">
        <f t="shared" si="42"/>
        <v>549</v>
      </c>
      <c r="FH29" s="1140">
        <f t="shared" si="42"/>
        <v>39</v>
      </c>
      <c r="FI29" s="1140">
        <f t="shared" si="42"/>
        <v>1</v>
      </c>
      <c r="FJ29" s="1140">
        <f t="shared" si="42"/>
        <v>485</v>
      </c>
      <c r="FK29" s="1140">
        <f t="shared" si="42"/>
        <v>44</v>
      </c>
      <c r="FL29" s="1140">
        <f t="shared" si="42"/>
        <v>526</v>
      </c>
      <c r="FM29" s="1140">
        <f t="shared" si="42"/>
        <v>157</v>
      </c>
      <c r="FN29" s="1140">
        <f t="shared" si="42"/>
        <v>141</v>
      </c>
      <c r="FO29" s="1140">
        <f t="shared" si="42"/>
        <v>57</v>
      </c>
      <c r="FP29" s="1140">
        <f t="shared" si="42"/>
        <v>157</v>
      </c>
      <c r="FQ29" s="1140">
        <f t="shared" si="42"/>
        <v>30</v>
      </c>
      <c r="FR29" s="1140">
        <f t="shared" si="42"/>
        <v>225</v>
      </c>
      <c r="FS29" s="1140">
        <f t="shared" si="42"/>
        <v>33</v>
      </c>
      <c r="FT29" s="1140">
        <f t="shared" si="42"/>
        <v>357775</v>
      </c>
      <c r="FU29" s="1140">
        <f t="shared" si="42"/>
        <v>2853</v>
      </c>
      <c r="FV29" s="1140">
        <f t="shared" si="42"/>
        <v>6527</v>
      </c>
      <c r="FW29" s="1140">
        <f t="shared" si="42"/>
        <v>657</v>
      </c>
      <c r="FX29" s="1140">
        <f t="shared" si="42"/>
        <v>38601</v>
      </c>
      <c r="FY29" s="1140">
        <f t="shared" si="42"/>
        <v>1356</v>
      </c>
      <c r="FZ29" s="1160" t="s">
        <v>920</v>
      </c>
      <c r="GA29" s="1145">
        <f>MEDIAN(GA5:GA28)</f>
        <v>84</v>
      </c>
      <c r="GB29" s="1144">
        <f>MEDIAN(GB5:GB27)</f>
        <v>23534</v>
      </c>
      <c r="GC29" s="1144">
        <f t="shared" ref="GC29:GJ29" si="43">MEDIAN(GC5:GC27)</f>
        <v>71</v>
      </c>
      <c r="GD29" s="1144">
        <f t="shared" si="43"/>
        <v>1129</v>
      </c>
      <c r="GE29" s="1144">
        <f t="shared" si="43"/>
        <v>406</v>
      </c>
      <c r="GF29" s="1144">
        <f t="shared" si="43"/>
        <v>0</v>
      </c>
      <c r="GG29" s="1144">
        <f t="shared" si="43"/>
        <v>14.75</v>
      </c>
      <c r="GH29" s="1144">
        <f t="shared" si="43"/>
        <v>37</v>
      </c>
      <c r="GI29" s="1144">
        <f t="shared" si="43"/>
        <v>18.5</v>
      </c>
      <c r="GJ29" s="1145">
        <f t="shared" si="43"/>
        <v>366</v>
      </c>
    </row>
    <row r="30" spans="1:192">
      <c r="A30" t="s">
        <v>781</v>
      </c>
      <c r="GE30" t="s">
        <v>784</v>
      </c>
    </row>
    <row r="31" spans="1:192" ht="15">
      <c r="A31" s="1094" t="s">
        <v>782</v>
      </c>
      <c r="B31" s="1093"/>
      <c r="C31" s="1093"/>
      <c r="D31" s="1093"/>
      <c r="E31" s="1093"/>
      <c r="F31" s="1093"/>
      <c r="G31" s="1093"/>
      <c r="H31" s="1093"/>
      <c r="I31" s="1093"/>
      <c r="J31" s="1093"/>
    </row>
    <row r="32" spans="1:192">
      <c r="A32" t="s">
        <v>783</v>
      </c>
    </row>
    <row r="33" spans="1:1">
      <c r="A33" s="1094"/>
    </row>
    <row r="34" spans="1:1">
      <c r="A34" s="1094"/>
    </row>
    <row r="35" spans="1:1">
      <c r="A35" s="1094"/>
    </row>
  </sheetData>
  <mergeCells count="6">
    <mergeCell ref="GA2:GI2"/>
    <mergeCell ref="B2:F2"/>
    <mergeCell ref="G2:S2"/>
    <mergeCell ref="T2:BR2"/>
    <mergeCell ref="BS2:DB2"/>
    <mergeCell ref="DC2:FZ2"/>
  </mergeCells>
  <conditionalFormatting sqref="DH6:DH29 AB29 A5:FY28 GA5:XFD28">
    <cfRule type="expression" dxfId="0" priority="2">
      <formula>MOD(ROW(),2)=0</formula>
    </cfRule>
  </conditionalFormatting>
  <printOptions horizontalCentered="1" verticalCentered="1"/>
  <pageMargins left="0.45" right="0.45" top="0.75" bottom="0.5" header="0.3" footer="0.3"/>
  <pageSetup scale="99" orientation="landscape" r:id="rId1"/>
  <headerFooter>
    <oddHeader>&amp;C&amp;"Arial,Bold"CSU Annual Library Statistics 2009-2010</oddHeader>
    <oddFooter>&amp;L2009-2010&amp;C&amp;"Arial,Bold"California State University Office of the Chancellor&amp;RPage &amp;P</oddFooter>
  </headerFooter>
  <colBreaks count="1" manualBreakCount="1">
    <brk id="8" max="31" man="1"/>
  </colBreaks>
  <drawing r:id="rId2"/>
</worksheet>
</file>

<file path=xl/worksheets/sheet10.xml><?xml version="1.0" encoding="utf-8"?>
<worksheet xmlns="http://schemas.openxmlformats.org/spreadsheetml/2006/main" xmlns:r="http://schemas.openxmlformats.org/officeDocument/2006/relationships">
  <dimension ref="A1:J252"/>
  <sheetViews>
    <sheetView topLeftCell="A3" workbookViewId="0">
      <selection activeCell="B30" sqref="B30"/>
    </sheetView>
  </sheetViews>
  <sheetFormatPr defaultRowHeight="12.75"/>
  <cols>
    <col min="1" max="1" width="11.28515625" customWidth="1"/>
    <col min="2" max="2" width="60.28515625" customWidth="1"/>
    <col min="3" max="3" width="11.28515625" customWidth="1"/>
    <col min="4" max="4" width="10.7109375" customWidth="1"/>
    <col min="5" max="5" width="12.7109375" bestFit="1" customWidth="1"/>
    <col min="6" max="6" width="6.28515625" customWidth="1"/>
    <col min="7" max="7" width="12.140625" customWidth="1"/>
    <col min="8" max="8" width="9.140625" customWidth="1"/>
  </cols>
  <sheetData>
    <row r="1" spans="1:8" ht="18">
      <c r="A1" s="65"/>
      <c r="B1" s="66" t="s">
        <v>241</v>
      </c>
      <c r="C1" s="66"/>
      <c r="D1" s="162" t="s">
        <v>393</v>
      </c>
      <c r="E1" s="67"/>
      <c r="F1" s="67"/>
      <c r="G1" s="66"/>
      <c r="H1" s="172"/>
    </row>
    <row r="2" spans="1:8">
      <c r="A2" s="69"/>
      <c r="B2" s="172"/>
      <c r="C2" s="69"/>
      <c r="D2" s="69"/>
      <c r="E2" s="69"/>
      <c r="F2" s="69"/>
      <c r="G2" s="172"/>
      <c r="H2" s="172"/>
    </row>
    <row r="3" spans="1:8" ht="15.75">
      <c r="A3" s="70" t="s">
        <v>161</v>
      </c>
      <c r="B3" s="2" t="s">
        <v>593</v>
      </c>
      <c r="C3" s="72"/>
      <c r="D3" s="73" t="s">
        <v>185</v>
      </c>
      <c r="E3" s="72"/>
      <c r="F3" s="72"/>
      <c r="G3" s="172"/>
      <c r="H3" s="172"/>
    </row>
    <row r="4" spans="1:8">
      <c r="A4" s="69"/>
      <c r="B4" s="172"/>
      <c r="C4" s="69"/>
      <c r="D4" s="69"/>
      <c r="E4" s="69"/>
      <c r="F4" s="69"/>
      <c r="G4" s="172"/>
      <c r="H4" s="172"/>
    </row>
    <row r="5" spans="1:8" ht="12.75" customHeight="1">
      <c r="A5" s="1231" t="s">
        <v>189</v>
      </c>
      <c r="B5" s="274" t="s">
        <v>594</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2" t="s">
        <v>595</v>
      </c>
      <c r="C7" s="72"/>
      <c r="D7" s="72"/>
      <c r="E7" s="72"/>
      <c r="F7" s="72"/>
      <c r="G7" s="172"/>
      <c r="H7" s="172"/>
    </row>
    <row r="8" spans="1:8">
      <c r="A8" s="1231"/>
      <c r="B8" s="172"/>
      <c r="C8" s="72"/>
      <c r="D8" s="75" t="s">
        <v>188</v>
      </c>
      <c r="E8" s="69"/>
      <c r="F8" s="69"/>
      <c r="G8" s="172"/>
      <c r="H8" s="172"/>
    </row>
    <row r="9" spans="1:8" ht="14.25">
      <c r="A9" s="76" t="s">
        <v>190</v>
      </c>
      <c r="B9" s="268" t="s">
        <v>596</v>
      </c>
      <c r="C9" s="72"/>
      <c r="D9" s="69"/>
      <c r="E9" s="69"/>
      <c r="F9" s="69"/>
      <c r="G9" s="172"/>
      <c r="H9" s="172"/>
    </row>
    <row r="10" spans="1:8">
      <c r="A10" s="67"/>
      <c r="B10" s="172"/>
      <c r="C10" s="69"/>
      <c r="D10" s="77" t="s">
        <v>242</v>
      </c>
      <c r="E10" s="69"/>
      <c r="F10" s="78"/>
      <c r="G10" s="172"/>
      <c r="H10" s="172"/>
    </row>
    <row r="11" spans="1:8">
      <c r="A11" s="79" t="s">
        <v>162</v>
      </c>
      <c r="B11" s="71" t="s">
        <v>597</v>
      </c>
      <c r="C11" s="72"/>
      <c r="D11" s="69"/>
      <c r="E11" s="69"/>
      <c r="F11" s="69"/>
      <c r="G11" s="172"/>
      <c r="H11" s="172"/>
    </row>
    <row r="12" spans="1:8">
      <c r="A12" s="69"/>
      <c r="B12" s="172"/>
      <c r="C12" s="69"/>
      <c r="D12" s="67"/>
      <c r="E12" s="69"/>
      <c r="F12" s="69"/>
      <c r="G12" s="172"/>
      <c r="H12" s="172"/>
    </row>
    <row r="13" spans="1:8">
      <c r="A13" s="1232" t="s">
        <v>163</v>
      </c>
      <c r="B13" s="71"/>
      <c r="C13" s="72"/>
      <c r="D13" s="72"/>
      <c r="E13" s="69"/>
      <c r="F13" s="69"/>
      <c r="G13" s="172"/>
      <c r="H13" s="172"/>
    </row>
    <row r="14" spans="1:8">
      <c r="A14" s="1232"/>
      <c r="B14" s="172"/>
      <c r="C14" s="172"/>
      <c r="D14" s="172"/>
      <c r="E14" s="172"/>
      <c r="F14" s="172"/>
      <c r="G14" s="172"/>
      <c r="H14" s="172"/>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v>1</v>
      </c>
      <c r="D18" s="1218"/>
      <c r="E18" s="1218"/>
      <c r="F18" s="84"/>
      <c r="G18" s="85"/>
      <c r="H18" s="72"/>
    </row>
    <row r="19" spans="1:8" ht="25.5">
      <c r="A19" s="11" t="s">
        <v>111</v>
      </c>
      <c r="B19" s="86" t="s">
        <v>228</v>
      </c>
      <c r="C19" s="8">
        <v>5</v>
      </c>
      <c r="D19" s="1218"/>
      <c r="E19" s="1218"/>
      <c r="F19" s="84"/>
      <c r="G19" s="85"/>
      <c r="H19" s="72"/>
    </row>
    <row r="20" spans="1:8" ht="25.5">
      <c r="A20" s="11" t="s">
        <v>112</v>
      </c>
      <c r="B20" s="86" t="s">
        <v>229</v>
      </c>
      <c r="C20" s="8">
        <v>0</v>
      </c>
      <c r="D20" s="1218"/>
      <c r="E20" s="1218"/>
      <c r="F20" s="84"/>
      <c r="G20" s="85"/>
      <c r="H20" s="72"/>
    </row>
    <row r="21" spans="1:8" ht="25.5">
      <c r="A21" s="11" t="s">
        <v>113</v>
      </c>
      <c r="B21" s="87" t="s">
        <v>230</v>
      </c>
      <c r="C21" s="8">
        <v>3</v>
      </c>
      <c r="D21" s="1218"/>
      <c r="E21" s="1218"/>
      <c r="F21" s="84"/>
      <c r="G21" s="85"/>
      <c r="H21" s="72"/>
    </row>
    <row r="22" spans="1:8" ht="25.5">
      <c r="A22" s="11" t="s">
        <v>114</v>
      </c>
      <c r="B22" s="87" t="s">
        <v>231</v>
      </c>
      <c r="C22" s="14">
        <v>4</v>
      </c>
      <c r="D22" s="1218"/>
      <c r="E22" s="1218"/>
      <c r="F22" s="84"/>
      <c r="G22" s="85"/>
      <c r="H22" s="72"/>
    </row>
    <row r="23" spans="1:8">
      <c r="A23" s="1222"/>
      <c r="B23" s="1223"/>
      <c r="C23" s="1224"/>
      <c r="D23" s="1224"/>
      <c r="E23" s="1224"/>
      <c r="F23" s="1224"/>
      <c r="G23" s="1225"/>
      <c r="H23" s="80"/>
    </row>
    <row r="24" spans="1:8" ht="13.5">
      <c r="A24" s="1226" t="s">
        <v>360</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24.28</v>
      </c>
      <c r="D26" s="1218"/>
      <c r="E26" s="1218"/>
      <c r="F26" s="84"/>
      <c r="G26" s="85"/>
      <c r="H26" s="72"/>
    </row>
    <row r="27" spans="1:8">
      <c r="A27" s="8" t="s">
        <v>3</v>
      </c>
      <c r="B27" s="12" t="s">
        <v>4</v>
      </c>
      <c r="C27" s="15">
        <v>15.95</v>
      </c>
      <c r="D27" s="1218"/>
      <c r="E27" s="1218"/>
      <c r="F27" s="84"/>
      <c r="G27" s="85"/>
      <c r="H27" s="72"/>
    </row>
    <row r="28" spans="1:8">
      <c r="A28" s="11" t="s">
        <v>5</v>
      </c>
      <c r="B28" s="12" t="s">
        <v>144</v>
      </c>
      <c r="C28" s="15">
        <v>4.33</v>
      </c>
      <c r="D28" s="1218"/>
      <c r="E28" s="1218"/>
      <c r="F28" s="84"/>
      <c r="G28" s="85"/>
      <c r="H28" s="72"/>
    </row>
    <row r="29" spans="1:8">
      <c r="A29" s="8" t="s">
        <v>145</v>
      </c>
      <c r="B29" s="12" t="s">
        <v>146</v>
      </c>
      <c r="C29" s="15">
        <v>4</v>
      </c>
      <c r="D29" s="1220"/>
      <c r="E29" s="1229"/>
      <c r="F29" s="174"/>
      <c r="G29" s="85"/>
      <c r="H29" s="72"/>
    </row>
    <row r="30" spans="1:8">
      <c r="A30" s="8" t="s">
        <v>244</v>
      </c>
      <c r="B30" s="12" t="s">
        <v>245</v>
      </c>
      <c r="C30" s="15">
        <v>0</v>
      </c>
      <c r="D30" s="88"/>
      <c r="E30" s="174"/>
      <c r="F30" s="174"/>
      <c r="G30" s="85"/>
      <c r="H30" s="72"/>
    </row>
    <row r="31" spans="1:8">
      <c r="A31" s="5">
        <v>3</v>
      </c>
      <c r="B31" s="7" t="s">
        <v>14</v>
      </c>
      <c r="C31" s="50">
        <f>SUM(C32:C34)</f>
        <v>39.549999999999997</v>
      </c>
      <c r="D31" s="1218"/>
      <c r="E31" s="1218"/>
      <c r="F31" s="84"/>
      <c r="G31" s="85"/>
      <c r="H31" s="72"/>
    </row>
    <row r="32" spans="1:8">
      <c r="A32" s="8" t="s">
        <v>6</v>
      </c>
      <c r="B32" s="12" t="s">
        <v>7</v>
      </c>
      <c r="C32" s="15">
        <v>24.49</v>
      </c>
      <c r="D32" s="1218"/>
      <c r="E32" s="1218"/>
      <c r="F32" s="84"/>
      <c r="G32" s="85"/>
      <c r="H32" s="72"/>
    </row>
    <row r="33" spans="1:8">
      <c r="A33" s="11" t="s">
        <v>12</v>
      </c>
      <c r="B33" s="12" t="s">
        <v>15</v>
      </c>
      <c r="C33" s="15">
        <v>15.06</v>
      </c>
      <c r="D33" s="1218"/>
      <c r="E33" s="1218"/>
      <c r="F33" s="84"/>
      <c r="G33" s="85"/>
      <c r="H33" s="72"/>
    </row>
    <row r="34" spans="1:8">
      <c r="A34" s="11" t="s">
        <v>13</v>
      </c>
      <c r="B34" s="12" t="s">
        <v>148</v>
      </c>
      <c r="C34" s="15">
        <v>0</v>
      </c>
      <c r="D34" s="1218"/>
      <c r="E34" s="1218"/>
      <c r="F34" s="84"/>
      <c r="G34" s="85"/>
      <c r="H34" s="72"/>
    </row>
    <row r="35" spans="1:8">
      <c r="A35" s="5">
        <v>4</v>
      </c>
      <c r="B35" s="16" t="s">
        <v>17</v>
      </c>
      <c r="C35" s="15">
        <v>0</v>
      </c>
      <c r="D35" s="1218"/>
      <c r="E35" s="1218"/>
      <c r="F35" s="84"/>
      <c r="G35" s="85"/>
      <c r="H35" s="72"/>
    </row>
    <row r="36" spans="1:8">
      <c r="A36" s="11" t="s">
        <v>16</v>
      </c>
      <c r="B36" s="12" t="s">
        <v>84</v>
      </c>
      <c r="C36" s="15">
        <v>0</v>
      </c>
      <c r="D36" s="1218"/>
      <c r="E36" s="1218"/>
      <c r="F36" s="84"/>
      <c r="G36" s="85"/>
      <c r="H36" s="72"/>
    </row>
    <row r="37" spans="1:8" ht="25.5">
      <c r="A37" s="5">
        <v>5</v>
      </c>
      <c r="B37" s="90" t="s">
        <v>26</v>
      </c>
      <c r="C37" s="15">
        <v>50.09</v>
      </c>
      <c r="D37" s="1218"/>
      <c r="E37" s="1218"/>
      <c r="F37" s="84"/>
      <c r="G37" s="85"/>
      <c r="H37" s="72"/>
    </row>
    <row r="38" spans="1:8">
      <c r="A38" s="17" t="s">
        <v>147</v>
      </c>
      <c r="B38" s="16" t="s">
        <v>150</v>
      </c>
      <c r="C38" s="269">
        <v>1</v>
      </c>
      <c r="D38" s="1219"/>
      <c r="E38" s="1219"/>
      <c r="F38" s="81"/>
      <c r="G38" s="85"/>
      <c r="H38" s="72"/>
    </row>
    <row r="39" spans="1:8">
      <c r="A39" s="5">
        <v>6</v>
      </c>
      <c r="B39" s="7" t="s">
        <v>85</v>
      </c>
      <c r="C39" s="50">
        <f>SUM(C26,C31,C35,C37)</f>
        <v>113.92</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270">
        <f>SUM(C45:C47)</f>
        <v>1602617</v>
      </c>
      <c r="D44" s="1218"/>
      <c r="E44" s="1218"/>
      <c r="F44" s="84"/>
      <c r="G44" s="85"/>
      <c r="H44" s="72"/>
    </row>
    <row r="45" spans="1:8">
      <c r="A45" s="8" t="s">
        <v>11</v>
      </c>
      <c r="B45" s="12" t="s">
        <v>19</v>
      </c>
      <c r="C45" s="55">
        <v>1196631</v>
      </c>
      <c r="D45" s="1218"/>
      <c r="E45" s="1218"/>
      <c r="F45" s="84"/>
      <c r="G45" s="85"/>
      <c r="H45" s="72"/>
    </row>
    <row r="46" spans="1:8">
      <c r="A46" s="11" t="s">
        <v>18</v>
      </c>
      <c r="B46" s="12" t="s">
        <v>151</v>
      </c>
      <c r="C46" s="55">
        <v>405986</v>
      </c>
      <c r="D46" s="1218"/>
      <c r="E46" s="1218"/>
      <c r="F46" s="84"/>
      <c r="G46" s="85"/>
      <c r="H46" s="72"/>
    </row>
    <row r="47" spans="1:8">
      <c r="A47" s="8" t="s">
        <v>247</v>
      </c>
      <c r="B47" s="12" t="s">
        <v>248</v>
      </c>
      <c r="C47" s="55">
        <v>0</v>
      </c>
      <c r="D47" s="84"/>
      <c r="E47" s="84"/>
      <c r="F47" s="84"/>
      <c r="G47" s="85"/>
      <c r="H47" s="72"/>
    </row>
    <row r="48" spans="1:8">
      <c r="A48" s="5">
        <v>8</v>
      </c>
      <c r="B48" s="7" t="s">
        <v>109</v>
      </c>
      <c r="C48" s="270">
        <f>SUM(C49:C51)</f>
        <v>1462127</v>
      </c>
      <c r="D48" s="1218"/>
      <c r="E48" s="1218"/>
      <c r="F48" s="84"/>
      <c r="G48" s="85"/>
      <c r="H48" s="72"/>
    </row>
    <row r="49" spans="1:8">
      <c r="A49" s="19" t="s">
        <v>20</v>
      </c>
      <c r="B49" s="20" t="s">
        <v>23</v>
      </c>
      <c r="C49" s="55">
        <v>882074</v>
      </c>
      <c r="D49" s="1218"/>
      <c r="E49" s="1218"/>
      <c r="F49" s="84"/>
      <c r="G49" s="85"/>
      <c r="H49" s="72"/>
    </row>
    <row r="50" spans="1:8">
      <c r="A50" s="11" t="s">
        <v>21</v>
      </c>
      <c r="B50" s="12" t="s">
        <v>24</v>
      </c>
      <c r="C50" s="55">
        <v>580053</v>
      </c>
      <c r="D50" s="1218"/>
      <c r="E50" s="1218"/>
      <c r="F50" s="84"/>
      <c r="G50" s="85"/>
      <c r="H50" s="72"/>
    </row>
    <row r="51" spans="1:8">
      <c r="A51" s="11" t="s">
        <v>22</v>
      </c>
      <c r="B51" s="12" t="s">
        <v>25</v>
      </c>
      <c r="C51" s="55">
        <v>0</v>
      </c>
      <c r="D51" s="1218"/>
      <c r="E51" s="1218"/>
      <c r="F51" s="84"/>
      <c r="G51" s="85"/>
      <c r="H51" s="72"/>
    </row>
    <row r="52" spans="1:8" ht="25.5">
      <c r="A52" s="21">
        <v>9</v>
      </c>
      <c r="B52" s="22" t="s">
        <v>27</v>
      </c>
      <c r="C52" s="55">
        <v>359356</v>
      </c>
      <c r="D52" s="1218"/>
      <c r="E52" s="1218"/>
      <c r="F52" s="84"/>
      <c r="G52" s="85"/>
      <c r="H52" s="72"/>
    </row>
    <row r="53" spans="1:8">
      <c r="A53" s="21">
        <v>10</v>
      </c>
      <c r="B53" s="22" t="s">
        <v>249</v>
      </c>
      <c r="C53" s="55">
        <v>3424100</v>
      </c>
      <c r="D53" s="88"/>
      <c r="E53" s="94"/>
      <c r="F53" s="94"/>
      <c r="G53" s="85"/>
      <c r="H53" s="72"/>
    </row>
    <row r="54" spans="1:8">
      <c r="A54" s="21"/>
      <c r="B54" s="22"/>
      <c r="C54" s="55"/>
      <c r="D54" s="1220"/>
      <c r="E54" s="1221"/>
      <c r="F54" s="94"/>
      <c r="G54" s="85"/>
      <c r="H54" s="72"/>
    </row>
    <row r="55" spans="1:8">
      <c r="A55" s="95"/>
      <c r="B55" s="92" t="s">
        <v>250</v>
      </c>
      <c r="C55" s="96"/>
      <c r="D55" s="1219"/>
      <c r="E55" s="1218"/>
      <c r="F55" s="84"/>
      <c r="G55" s="85"/>
      <c r="H55" s="72"/>
    </row>
    <row r="56" spans="1:8" ht="25.5">
      <c r="A56" s="97">
        <v>11</v>
      </c>
      <c r="B56" s="98" t="s">
        <v>251</v>
      </c>
      <c r="C56" s="270">
        <f>SUM(C57:C59)</f>
        <v>264677</v>
      </c>
      <c r="D56" s="1218"/>
      <c r="E56" s="1218"/>
      <c r="F56" s="84"/>
      <c r="G56" s="85"/>
      <c r="H56" s="72"/>
    </row>
    <row r="57" spans="1:8">
      <c r="A57" s="100" t="s">
        <v>30</v>
      </c>
      <c r="B57" s="101" t="s">
        <v>28</v>
      </c>
      <c r="C57" s="55">
        <v>229372</v>
      </c>
      <c r="D57" s="1218"/>
      <c r="E57" s="1218"/>
      <c r="F57" s="84"/>
      <c r="G57" s="85"/>
      <c r="H57" s="72"/>
    </row>
    <row r="58" spans="1:8">
      <c r="A58" s="100" t="s">
        <v>32</v>
      </c>
      <c r="B58" s="101" t="s">
        <v>363</v>
      </c>
      <c r="C58" s="55">
        <v>33464</v>
      </c>
      <c r="D58" s="1218"/>
      <c r="E58" s="1218"/>
      <c r="F58" s="84"/>
      <c r="G58" s="85"/>
      <c r="H58" s="72"/>
    </row>
    <row r="59" spans="1:8">
      <c r="A59" s="100" t="s">
        <v>34</v>
      </c>
      <c r="B59" s="101" t="s">
        <v>29</v>
      </c>
      <c r="C59" s="55">
        <v>1841</v>
      </c>
      <c r="D59" s="1218"/>
      <c r="E59" s="1218"/>
      <c r="F59" s="84"/>
      <c r="G59" s="85"/>
      <c r="H59" s="72"/>
    </row>
    <row r="60" spans="1:8" ht="38.25">
      <c r="A60" s="97">
        <v>12</v>
      </c>
      <c r="B60" s="98" t="s">
        <v>252</v>
      </c>
      <c r="C60" s="271">
        <f>SUM(C61,C62,C64,C65,C66)</f>
        <v>1828512</v>
      </c>
      <c r="D60" s="1218"/>
      <c r="E60" s="1218"/>
      <c r="F60" s="84"/>
      <c r="G60" s="85"/>
      <c r="H60" s="72"/>
    </row>
    <row r="61" spans="1:8">
      <c r="A61" s="100" t="s">
        <v>36</v>
      </c>
      <c r="B61" s="101" t="s">
        <v>31</v>
      </c>
      <c r="C61" s="55">
        <v>750523</v>
      </c>
      <c r="D61" s="1218"/>
      <c r="E61" s="1218"/>
      <c r="F61" s="84"/>
      <c r="G61" s="85"/>
      <c r="H61" s="72"/>
    </row>
    <row r="62" spans="1:8">
      <c r="A62" s="100" t="s">
        <v>38</v>
      </c>
      <c r="B62" s="101" t="s">
        <v>206</v>
      </c>
      <c r="C62" s="55">
        <v>1075196</v>
      </c>
      <c r="D62" s="1218"/>
      <c r="E62" s="1218"/>
      <c r="F62" s="84"/>
      <c r="G62" s="85"/>
      <c r="H62" s="72"/>
    </row>
    <row r="63" spans="1:8">
      <c r="A63" s="100" t="s">
        <v>253</v>
      </c>
      <c r="B63" s="101" t="s">
        <v>33</v>
      </c>
      <c r="C63" s="55">
        <v>229820</v>
      </c>
      <c r="D63" s="1218"/>
      <c r="E63" s="1218"/>
      <c r="F63" s="84"/>
      <c r="G63" s="85"/>
      <c r="H63" s="72"/>
    </row>
    <row r="64" spans="1:8">
      <c r="A64" s="100" t="s">
        <v>39</v>
      </c>
      <c r="B64" s="101" t="s">
        <v>35</v>
      </c>
      <c r="C64" s="55">
        <v>1243</v>
      </c>
      <c r="D64" s="1218"/>
      <c r="E64" s="1218"/>
      <c r="F64" s="84"/>
      <c r="G64" s="85"/>
      <c r="H64" s="72"/>
    </row>
    <row r="65" spans="1:8">
      <c r="A65" s="102" t="s">
        <v>254</v>
      </c>
      <c r="B65" s="101" t="s">
        <v>153</v>
      </c>
      <c r="C65" s="272">
        <v>0</v>
      </c>
      <c r="D65" s="1218"/>
      <c r="E65" s="1218"/>
      <c r="F65" s="84"/>
      <c r="G65" s="85"/>
      <c r="H65" s="72"/>
    </row>
    <row r="66" spans="1:8">
      <c r="A66" s="102" t="s">
        <v>255</v>
      </c>
      <c r="B66" s="103" t="s">
        <v>216</v>
      </c>
      <c r="C66" s="55">
        <v>1550</v>
      </c>
      <c r="D66" s="1218"/>
      <c r="E66" s="1218"/>
      <c r="F66" s="84"/>
      <c r="G66" s="85"/>
      <c r="H66" s="72"/>
    </row>
    <row r="67" spans="1:8">
      <c r="A67" s="97">
        <v>13</v>
      </c>
      <c r="B67" s="104" t="s">
        <v>256</v>
      </c>
      <c r="C67" s="271">
        <f>SUM(C68:C69)</f>
        <v>55899</v>
      </c>
      <c r="D67" s="1218"/>
      <c r="E67" s="1218"/>
      <c r="F67" s="84"/>
      <c r="G67" s="85"/>
      <c r="H67" s="72"/>
    </row>
    <row r="68" spans="1:8">
      <c r="A68" s="100" t="s">
        <v>156</v>
      </c>
      <c r="B68" s="103" t="s">
        <v>40</v>
      </c>
      <c r="C68" s="55">
        <v>34172</v>
      </c>
      <c r="D68" s="1218"/>
      <c r="E68" s="1218"/>
      <c r="F68" s="84"/>
      <c r="G68" s="85"/>
      <c r="H68" s="72"/>
    </row>
    <row r="69" spans="1:8">
      <c r="A69" s="100" t="s">
        <v>157</v>
      </c>
      <c r="B69" s="103" t="s">
        <v>41</v>
      </c>
      <c r="C69" s="55">
        <v>21727</v>
      </c>
      <c r="D69" s="1218"/>
      <c r="E69" s="1218"/>
      <c r="F69" s="84"/>
      <c r="G69" s="85"/>
      <c r="H69" s="72"/>
    </row>
    <row r="70" spans="1:8">
      <c r="A70" s="95">
        <v>14</v>
      </c>
      <c r="B70" s="82" t="s">
        <v>257</v>
      </c>
      <c r="C70" s="271">
        <v>0</v>
      </c>
      <c r="D70" s="1218"/>
      <c r="E70" s="1218"/>
      <c r="F70" s="84"/>
      <c r="G70" s="85"/>
      <c r="H70" s="72"/>
    </row>
    <row r="71" spans="1:8">
      <c r="A71" s="105" t="s">
        <v>42</v>
      </c>
      <c r="B71" s="106" t="s">
        <v>155</v>
      </c>
      <c r="C71" s="55">
        <v>0</v>
      </c>
      <c r="D71" s="1219"/>
      <c r="E71" s="1219"/>
      <c r="F71" s="81"/>
      <c r="G71" s="85"/>
      <c r="H71" s="72"/>
    </row>
    <row r="72" spans="1:8">
      <c r="A72" s="105" t="s">
        <v>43</v>
      </c>
      <c r="B72" s="107" t="s">
        <v>258</v>
      </c>
      <c r="C72" s="55">
        <v>0</v>
      </c>
      <c r="D72" s="81"/>
      <c r="E72" s="81"/>
      <c r="F72" s="81"/>
      <c r="G72" s="85"/>
      <c r="H72" s="72"/>
    </row>
    <row r="73" spans="1:8">
      <c r="A73" s="105" t="s">
        <v>45</v>
      </c>
      <c r="B73" s="108" t="s">
        <v>44</v>
      </c>
      <c r="C73" s="55">
        <v>0</v>
      </c>
      <c r="D73" s="1218"/>
      <c r="E73" s="1218"/>
      <c r="F73" s="84"/>
      <c r="G73" s="85"/>
      <c r="H73" s="72"/>
    </row>
    <row r="74" spans="1:8">
      <c r="A74" s="105" t="s">
        <v>154</v>
      </c>
      <c r="B74" s="108" t="s">
        <v>46</v>
      </c>
      <c r="C74" s="55">
        <v>0</v>
      </c>
      <c r="D74" s="1218"/>
      <c r="E74" s="1218"/>
      <c r="F74" s="84"/>
      <c r="G74" s="85"/>
      <c r="H74" s="72"/>
    </row>
    <row r="75" spans="1:8">
      <c r="A75" s="109" t="s">
        <v>259</v>
      </c>
      <c r="B75" s="108" t="s">
        <v>104</v>
      </c>
      <c r="C75" s="55">
        <v>0</v>
      </c>
      <c r="D75" s="1218"/>
      <c r="E75" s="1218"/>
      <c r="F75" s="84"/>
      <c r="G75" s="85"/>
      <c r="H75" s="72"/>
    </row>
    <row r="76" spans="1:8">
      <c r="A76" s="110">
        <v>15</v>
      </c>
      <c r="B76" s="82" t="s">
        <v>260</v>
      </c>
      <c r="C76" s="58">
        <f>SUM(C60,C67,C70,C56)</f>
        <v>2149088</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c r="A80" s="95">
        <v>16</v>
      </c>
      <c r="B80" s="112" t="s">
        <v>262</v>
      </c>
      <c r="C80" s="55">
        <f>SUM(C81:C85)</f>
        <v>61908</v>
      </c>
      <c r="D80" s="84"/>
      <c r="E80" s="84"/>
      <c r="F80" s="84"/>
      <c r="G80" s="85"/>
      <c r="H80" s="72"/>
    </row>
    <row r="81" spans="1:8">
      <c r="A81" s="109" t="s">
        <v>263</v>
      </c>
      <c r="B81" s="85" t="s">
        <v>264</v>
      </c>
      <c r="C81" s="55">
        <v>24400</v>
      </c>
      <c r="D81" s="84"/>
      <c r="E81" s="84"/>
      <c r="F81" s="84"/>
      <c r="G81" s="85"/>
      <c r="H81" s="72"/>
    </row>
    <row r="82" spans="1:8" ht="25.5">
      <c r="A82" s="109" t="s">
        <v>192</v>
      </c>
      <c r="B82" s="113" t="s">
        <v>207</v>
      </c>
      <c r="C82" s="55">
        <v>19589</v>
      </c>
      <c r="D82" s="84"/>
      <c r="E82" s="84"/>
      <c r="F82" s="84"/>
      <c r="G82" s="85"/>
      <c r="H82" s="72"/>
    </row>
    <row r="83" spans="1:8">
      <c r="A83" s="109" t="s">
        <v>193</v>
      </c>
      <c r="B83" s="85" t="s">
        <v>158</v>
      </c>
      <c r="C83" s="55">
        <v>480</v>
      </c>
      <c r="D83" s="84"/>
      <c r="E83" s="84"/>
      <c r="F83" s="84"/>
      <c r="G83" s="85"/>
      <c r="H83" s="72"/>
    </row>
    <row r="84" spans="1:8">
      <c r="A84" s="109" t="s">
        <v>265</v>
      </c>
      <c r="B84" s="85" t="s">
        <v>159</v>
      </c>
      <c r="C84" s="55">
        <v>820</v>
      </c>
      <c r="D84" s="84"/>
      <c r="E84" s="84"/>
      <c r="F84" s="84"/>
      <c r="G84" s="85"/>
      <c r="H84" s="72"/>
    </row>
    <row r="85" spans="1:8">
      <c r="A85" s="109" t="s">
        <v>266</v>
      </c>
      <c r="B85" s="85" t="s">
        <v>160</v>
      </c>
      <c r="C85" s="55">
        <v>16619</v>
      </c>
      <c r="D85" s="84"/>
      <c r="E85" s="84"/>
      <c r="F85" s="84"/>
      <c r="G85" s="85"/>
      <c r="H85" s="72"/>
    </row>
    <row r="86" spans="1:8">
      <c r="A86" s="110">
        <v>17</v>
      </c>
      <c r="B86" s="111" t="s">
        <v>191</v>
      </c>
      <c r="C86" s="55">
        <v>0</v>
      </c>
      <c r="D86" s="1218"/>
      <c r="E86" s="1218"/>
      <c r="F86" s="84"/>
      <c r="G86" s="82"/>
      <c r="H86" s="83"/>
    </row>
    <row r="87" spans="1:8">
      <c r="A87" s="110">
        <v>18</v>
      </c>
      <c r="B87" s="82" t="s">
        <v>267</v>
      </c>
      <c r="C87" s="271">
        <f>SUM(C88:C90)</f>
        <v>20251</v>
      </c>
      <c r="D87" s="1218"/>
      <c r="E87" s="1218"/>
      <c r="F87" s="84"/>
      <c r="G87" s="85"/>
      <c r="H87" s="72"/>
    </row>
    <row r="88" spans="1:8">
      <c r="A88" s="105" t="s">
        <v>268</v>
      </c>
      <c r="B88" s="114" t="s">
        <v>47</v>
      </c>
      <c r="C88" s="55">
        <v>0</v>
      </c>
      <c r="D88" s="1218"/>
      <c r="E88" s="1218"/>
      <c r="F88" s="84"/>
      <c r="G88" s="85"/>
      <c r="H88" s="72"/>
    </row>
    <row r="89" spans="1:8">
      <c r="A89" s="105" t="s">
        <v>269</v>
      </c>
      <c r="B89" s="114" t="s">
        <v>48</v>
      </c>
      <c r="C89" s="55">
        <v>20251</v>
      </c>
      <c r="D89" s="1218"/>
      <c r="E89" s="1218"/>
      <c r="F89" s="84"/>
      <c r="G89" s="85"/>
      <c r="H89" s="72"/>
    </row>
    <row r="90" spans="1:8">
      <c r="A90" s="105" t="s">
        <v>270</v>
      </c>
      <c r="B90" s="114" t="s">
        <v>105</v>
      </c>
      <c r="C90" s="96">
        <v>0</v>
      </c>
      <c r="D90" s="1218"/>
      <c r="E90" s="1218"/>
      <c r="F90" s="84"/>
      <c r="G90" s="85"/>
      <c r="H90" s="72"/>
    </row>
    <row r="91" spans="1:8">
      <c r="A91" s="110">
        <v>19</v>
      </c>
      <c r="B91" s="85" t="s">
        <v>205</v>
      </c>
      <c r="C91" s="96">
        <v>174669</v>
      </c>
      <c r="D91" s="1218"/>
      <c r="E91" s="1218"/>
      <c r="F91" s="84"/>
      <c r="G91" s="85"/>
      <c r="H91" s="72"/>
    </row>
    <row r="92" spans="1:8" ht="38.25">
      <c r="A92" s="110">
        <v>20</v>
      </c>
      <c r="B92" s="113" t="s">
        <v>106</v>
      </c>
      <c r="C92" s="96">
        <v>412728</v>
      </c>
      <c r="D92" s="1218"/>
      <c r="E92" s="1218"/>
      <c r="F92" s="84"/>
      <c r="G92" s="85"/>
      <c r="H92" s="72"/>
    </row>
    <row r="93" spans="1:8">
      <c r="A93" s="110">
        <v>21</v>
      </c>
      <c r="B93" s="85" t="s">
        <v>103</v>
      </c>
      <c r="C93" s="96">
        <v>169600</v>
      </c>
      <c r="D93" s="1218"/>
      <c r="E93" s="1218"/>
      <c r="F93" s="84"/>
      <c r="G93" s="85"/>
      <c r="H93" s="72"/>
    </row>
    <row r="94" spans="1:8" ht="25.5">
      <c r="A94" s="110">
        <v>22</v>
      </c>
      <c r="B94" s="113" t="s">
        <v>107</v>
      </c>
      <c r="C94" s="115">
        <v>109044</v>
      </c>
      <c r="D94" s="1218"/>
      <c r="E94" s="1218"/>
      <c r="F94" s="116"/>
      <c r="G94" s="117"/>
      <c r="H94" s="80"/>
    </row>
    <row r="95" spans="1:8" ht="25.5">
      <c r="A95" s="110">
        <v>23</v>
      </c>
      <c r="B95" s="113" t="s">
        <v>271</v>
      </c>
      <c r="C95" s="118">
        <f>SUM(C53,C76,C80,C86,C87,C91,C92,C93,C94)</f>
        <v>6521388</v>
      </c>
      <c r="D95" s="1218"/>
      <c r="E95" s="1218"/>
      <c r="F95" s="84"/>
      <c r="G95" s="85"/>
      <c r="H95" s="72"/>
    </row>
    <row r="96" spans="1:8">
      <c r="A96" s="109" t="s">
        <v>108</v>
      </c>
      <c r="B96" s="114" t="s">
        <v>49</v>
      </c>
      <c r="C96" s="96">
        <v>0</v>
      </c>
      <c r="D96" s="1218"/>
      <c r="E96" s="1218"/>
      <c r="F96" s="84"/>
      <c r="G96" s="85"/>
      <c r="H96" s="72"/>
    </row>
    <row r="97" spans="1:8" ht="15">
      <c r="A97" s="110">
        <v>24</v>
      </c>
      <c r="B97" s="85" t="s">
        <v>272</v>
      </c>
      <c r="C97" s="119">
        <f>SUM(C95,C96)</f>
        <v>6521388</v>
      </c>
      <c r="D97" s="1218"/>
      <c r="E97" s="1218"/>
      <c r="F97" s="84"/>
      <c r="G97" s="85"/>
      <c r="H97" s="72"/>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8242</v>
      </c>
      <c r="D103" s="51">
        <f>SUM(D104,D107:D110)</f>
        <v>2741</v>
      </c>
      <c r="E103" s="34">
        <v>1097367</v>
      </c>
      <c r="F103" s="34"/>
      <c r="G103" s="10"/>
      <c r="H103" s="3"/>
    </row>
    <row r="104" spans="1:8">
      <c r="A104" s="25" t="s">
        <v>91</v>
      </c>
      <c r="B104" s="13" t="s">
        <v>53</v>
      </c>
      <c r="C104" s="51">
        <v>4386</v>
      </c>
      <c r="D104" s="51">
        <v>1870</v>
      </c>
      <c r="E104" s="34">
        <v>794029</v>
      </c>
      <c r="F104" s="34"/>
      <c r="G104" s="10"/>
      <c r="H104" s="3"/>
    </row>
    <row r="105" spans="1:8">
      <c r="A105" s="25" t="s">
        <v>194</v>
      </c>
      <c r="B105" s="35" t="s">
        <v>54</v>
      </c>
      <c r="C105" s="34">
        <v>3361</v>
      </c>
      <c r="D105" s="25">
        <v>1745</v>
      </c>
      <c r="E105" s="34" t="s">
        <v>201</v>
      </c>
      <c r="F105" s="34"/>
      <c r="G105" s="10"/>
      <c r="H105" s="3"/>
    </row>
    <row r="106" spans="1:8">
      <c r="A106" s="25" t="s">
        <v>195</v>
      </c>
      <c r="B106" s="35" t="s">
        <v>55</v>
      </c>
      <c r="C106" s="34">
        <v>1025</v>
      </c>
      <c r="D106" s="25">
        <v>125</v>
      </c>
      <c r="E106" s="34" t="s">
        <v>201</v>
      </c>
      <c r="F106" s="34"/>
      <c r="G106" s="10"/>
      <c r="H106" s="3"/>
    </row>
    <row r="107" spans="1:8">
      <c r="A107" s="25" t="s">
        <v>93</v>
      </c>
      <c r="B107" s="13" t="s">
        <v>56</v>
      </c>
      <c r="C107" s="34">
        <v>3440</v>
      </c>
      <c r="D107" s="34">
        <v>832</v>
      </c>
      <c r="E107" s="34">
        <v>253217</v>
      </c>
      <c r="F107" s="34"/>
      <c r="G107" s="10"/>
      <c r="H107" s="3"/>
    </row>
    <row r="108" spans="1:8">
      <c r="A108" s="25" t="s">
        <v>275</v>
      </c>
      <c r="B108" s="13" t="s">
        <v>57</v>
      </c>
      <c r="C108" s="34">
        <v>416</v>
      </c>
      <c r="D108" s="34">
        <v>39</v>
      </c>
      <c r="E108" s="34">
        <v>35083</v>
      </c>
      <c r="F108" s="34"/>
      <c r="G108" s="10"/>
      <c r="H108" s="3"/>
    </row>
    <row r="109" spans="1:8">
      <c r="A109" s="25" t="s">
        <v>276</v>
      </c>
      <c r="B109" s="13" t="s">
        <v>58</v>
      </c>
      <c r="C109" s="34">
        <v>0</v>
      </c>
      <c r="D109" s="34">
        <v>0</v>
      </c>
      <c r="E109" s="34">
        <v>10117</v>
      </c>
      <c r="F109" s="34"/>
      <c r="G109" s="10"/>
      <c r="H109" s="3"/>
    </row>
    <row r="110" spans="1:8">
      <c r="A110" s="27" t="s">
        <v>277</v>
      </c>
      <c r="B110" s="13" t="s">
        <v>139</v>
      </c>
      <c r="C110" s="52">
        <v>0</v>
      </c>
      <c r="D110" s="51">
        <v>0</v>
      </c>
      <c r="E110" s="34"/>
      <c r="F110" s="34"/>
      <c r="G110" s="10"/>
      <c r="H110" s="3"/>
    </row>
    <row r="111" spans="1:8">
      <c r="A111" s="30">
        <v>26</v>
      </c>
      <c r="B111" s="18" t="s">
        <v>278</v>
      </c>
      <c r="C111" s="34">
        <v>53369</v>
      </c>
      <c r="D111" s="34" t="s">
        <v>499</v>
      </c>
      <c r="E111" s="34">
        <v>356889</v>
      </c>
      <c r="F111" s="34"/>
      <c r="G111" s="10"/>
      <c r="H111" s="3"/>
    </row>
    <row r="112" spans="1:8">
      <c r="A112" s="25" t="s">
        <v>92</v>
      </c>
      <c r="B112" s="13" t="s">
        <v>59</v>
      </c>
      <c r="C112" s="34">
        <v>46907</v>
      </c>
      <c r="D112" s="34">
        <v>2903</v>
      </c>
      <c r="E112" s="171">
        <v>223226</v>
      </c>
      <c r="F112" s="34"/>
      <c r="G112" s="10"/>
      <c r="H112" s="3"/>
    </row>
    <row r="113" spans="1:8">
      <c r="A113" s="27" t="s">
        <v>94</v>
      </c>
      <c r="B113" s="13" t="s">
        <v>164</v>
      </c>
      <c r="C113" s="34">
        <v>2716</v>
      </c>
      <c r="D113" s="34" t="s">
        <v>499</v>
      </c>
      <c r="E113" s="34">
        <v>46907</v>
      </c>
      <c r="F113" s="34"/>
      <c r="G113" s="10"/>
      <c r="H113" s="3"/>
    </row>
    <row r="114" spans="1:8">
      <c r="A114" s="25"/>
      <c r="B114" s="13"/>
      <c r="C114" s="34"/>
      <c r="D114" s="34"/>
      <c r="E114" s="34"/>
      <c r="F114" s="34"/>
      <c r="G114" s="10"/>
      <c r="H114" s="3"/>
    </row>
    <row r="115" spans="1:8" ht="38.25">
      <c r="A115" s="36">
        <v>27</v>
      </c>
      <c r="B115" s="33" t="s">
        <v>279</v>
      </c>
      <c r="C115" s="51">
        <f>SUM(C116)</f>
        <v>12610</v>
      </c>
      <c r="D115" s="51">
        <f>SUM(D116+D119)</f>
        <v>0</v>
      </c>
      <c r="E115" s="51">
        <f>SUM(E116+E119)</f>
        <v>59695</v>
      </c>
      <c r="F115" s="34"/>
      <c r="G115" s="10"/>
      <c r="H115" s="3"/>
    </row>
    <row r="116" spans="1:8" ht="25.5">
      <c r="A116" s="30" t="s">
        <v>196</v>
      </c>
      <c r="B116" s="126" t="s">
        <v>280</v>
      </c>
      <c r="C116" s="52">
        <f>SUM(C117,C118)</f>
        <v>12610</v>
      </c>
      <c r="D116" s="52">
        <f>SUM(D117:D118)</f>
        <v>0</v>
      </c>
      <c r="E116" s="52">
        <f>SUM(E117:E118)</f>
        <v>48470</v>
      </c>
      <c r="F116" s="25"/>
      <c r="G116" s="10"/>
      <c r="H116" s="3"/>
    </row>
    <row r="117" spans="1:8">
      <c r="A117" s="25" t="s">
        <v>281</v>
      </c>
      <c r="B117" s="35" t="s">
        <v>124</v>
      </c>
      <c r="C117" s="25">
        <v>4</v>
      </c>
      <c r="D117" s="25">
        <v>0</v>
      </c>
      <c r="E117" s="25">
        <v>2124</v>
      </c>
      <c r="F117" s="25"/>
      <c r="G117" s="10"/>
      <c r="H117" s="3"/>
    </row>
    <row r="118" spans="1:8">
      <c r="A118" s="25" t="s">
        <v>282</v>
      </c>
      <c r="B118" s="35" t="s">
        <v>125</v>
      </c>
      <c r="C118" s="25">
        <v>12606</v>
      </c>
      <c r="D118" s="25" t="s">
        <v>499</v>
      </c>
      <c r="E118" s="25">
        <v>46346</v>
      </c>
      <c r="F118" s="25"/>
      <c r="G118" s="10"/>
      <c r="H118" s="3"/>
    </row>
    <row r="119" spans="1:8" ht="25.5">
      <c r="A119" s="30" t="s">
        <v>283</v>
      </c>
      <c r="B119" s="126" t="s">
        <v>284</v>
      </c>
      <c r="C119" s="52" t="s">
        <v>499</v>
      </c>
      <c r="D119" s="52">
        <f>SUM(D120:D122)</f>
        <v>0</v>
      </c>
      <c r="E119" s="25">
        <v>11225</v>
      </c>
      <c r="F119" s="25"/>
      <c r="G119" s="10"/>
      <c r="H119" s="3"/>
    </row>
    <row r="120" spans="1:8">
      <c r="A120" s="25" t="s">
        <v>285</v>
      </c>
      <c r="B120" s="35" t="s">
        <v>126</v>
      </c>
      <c r="C120" s="25" t="s">
        <v>499</v>
      </c>
      <c r="D120" s="25"/>
      <c r="E120" s="25" t="s">
        <v>499</v>
      </c>
      <c r="F120" s="25"/>
      <c r="G120" s="10"/>
      <c r="H120" s="3"/>
    </row>
    <row r="121" spans="1:8">
      <c r="A121" s="27" t="s">
        <v>286</v>
      </c>
      <c r="B121" s="35" t="s">
        <v>287</v>
      </c>
      <c r="C121" s="25" t="s">
        <v>499</v>
      </c>
      <c r="D121" s="25"/>
      <c r="E121" s="25" t="s">
        <v>499</v>
      </c>
      <c r="F121" s="25"/>
      <c r="G121" s="10"/>
      <c r="H121" s="3"/>
    </row>
    <row r="122" spans="1:8">
      <c r="A122" s="25" t="s">
        <v>288</v>
      </c>
      <c r="B122" s="35" t="s">
        <v>218</v>
      </c>
      <c r="C122" s="25">
        <v>1003</v>
      </c>
      <c r="D122" s="25"/>
      <c r="E122" s="25">
        <v>11225</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1089</v>
      </c>
      <c r="D125" s="52">
        <f>SUM(D126:D127)</f>
        <v>325</v>
      </c>
      <c r="E125" s="25">
        <f>SUM(E126:E127)</f>
        <v>39229</v>
      </c>
      <c r="F125" s="25"/>
      <c r="G125" s="10"/>
      <c r="H125" s="3"/>
    </row>
    <row r="126" spans="1:8">
      <c r="A126" s="25" t="s">
        <v>127</v>
      </c>
      <c r="B126" s="24" t="s">
        <v>40</v>
      </c>
      <c r="C126" s="25">
        <v>672</v>
      </c>
      <c r="D126" s="25">
        <v>205</v>
      </c>
      <c r="E126" s="25">
        <v>20375</v>
      </c>
      <c r="F126" s="25"/>
      <c r="G126" s="10"/>
      <c r="H126" s="3"/>
    </row>
    <row r="127" spans="1:8">
      <c r="A127" s="25" t="s">
        <v>129</v>
      </c>
      <c r="B127" s="24" t="s">
        <v>41</v>
      </c>
      <c r="C127" s="25">
        <v>417</v>
      </c>
      <c r="D127" s="25">
        <v>120</v>
      </c>
      <c r="E127" s="25">
        <v>18854</v>
      </c>
      <c r="F127" s="25"/>
      <c r="G127" s="10"/>
      <c r="H127" s="3"/>
    </row>
    <row r="128" spans="1:8">
      <c r="A128" s="25"/>
      <c r="C128" s="25"/>
      <c r="D128" s="25"/>
      <c r="E128" s="25"/>
      <c r="F128" s="25"/>
      <c r="G128" s="10"/>
      <c r="H128" s="3"/>
    </row>
    <row r="129" spans="1:8">
      <c r="A129" s="30">
        <v>29</v>
      </c>
      <c r="B129" s="6" t="s">
        <v>290</v>
      </c>
      <c r="C129" s="25"/>
      <c r="D129" s="25"/>
      <c r="E129" s="25"/>
      <c r="F129" s="25"/>
      <c r="G129" s="10"/>
      <c r="H129" s="3"/>
    </row>
    <row r="130" spans="1:8">
      <c r="A130" s="30" t="s">
        <v>165</v>
      </c>
      <c r="B130" s="6" t="s">
        <v>37</v>
      </c>
      <c r="C130" s="25">
        <v>82</v>
      </c>
      <c r="D130" s="25">
        <v>0</v>
      </c>
      <c r="E130" s="25">
        <v>51355</v>
      </c>
      <c r="F130" s="25"/>
      <c r="G130" s="10"/>
      <c r="H130" s="3"/>
    </row>
    <row r="131" spans="1:8">
      <c r="A131" s="30" t="s">
        <v>166</v>
      </c>
      <c r="B131" s="6" t="s">
        <v>79</v>
      </c>
      <c r="C131" s="25">
        <v>0</v>
      </c>
      <c r="D131" s="25">
        <v>0</v>
      </c>
      <c r="E131" s="25">
        <v>13884</v>
      </c>
      <c r="F131" s="25"/>
      <c r="G131" s="10"/>
      <c r="H131" s="3"/>
    </row>
    <row r="132" spans="1:8">
      <c r="A132" s="30" t="s">
        <v>291</v>
      </c>
      <c r="B132" s="29" t="s">
        <v>222</v>
      </c>
      <c r="C132" s="25">
        <v>365</v>
      </c>
      <c r="D132" s="30">
        <v>0</v>
      </c>
      <c r="E132" s="25">
        <v>129046</v>
      </c>
      <c r="F132" s="30"/>
      <c r="G132" s="6"/>
      <c r="H132" s="122"/>
    </row>
    <row r="133" spans="1:8">
      <c r="A133" s="30" t="s">
        <v>292</v>
      </c>
      <c r="B133" s="29" t="s">
        <v>293</v>
      </c>
      <c r="C133" s="25">
        <v>107</v>
      </c>
      <c r="D133" s="30">
        <v>0</v>
      </c>
      <c r="E133" s="25">
        <v>1503534</v>
      </c>
      <c r="F133" s="30"/>
      <c r="G133" s="6"/>
      <c r="H133" s="122"/>
    </row>
    <row r="134" spans="1:8">
      <c r="A134" s="30" t="s">
        <v>294</v>
      </c>
      <c r="B134" s="29" t="s">
        <v>223</v>
      </c>
      <c r="C134" s="25" t="s">
        <v>499</v>
      </c>
      <c r="D134" s="25" t="s">
        <v>499</v>
      </c>
      <c r="E134" s="25" t="s">
        <v>499</v>
      </c>
      <c r="F134" s="30"/>
      <c r="G134" s="6"/>
      <c r="H134" s="122"/>
    </row>
    <row r="135" spans="1:8">
      <c r="A135" s="30" t="s">
        <v>295</v>
      </c>
      <c r="B135" s="37" t="s">
        <v>224</v>
      </c>
      <c r="C135" s="25" t="s">
        <v>499</v>
      </c>
      <c r="D135" s="25" t="s">
        <v>499</v>
      </c>
      <c r="E135" s="25" t="s">
        <v>499</v>
      </c>
      <c r="F135" s="30"/>
      <c r="G135" s="6"/>
      <c r="H135" s="122"/>
    </row>
    <row r="136" spans="1:8">
      <c r="A136" s="30" t="s">
        <v>296</v>
      </c>
      <c r="B136" s="37" t="s">
        <v>225</v>
      </c>
      <c r="C136" s="30"/>
      <c r="D136" s="30"/>
      <c r="E136" s="30"/>
      <c r="F136" s="30"/>
      <c r="G136" s="6"/>
      <c r="H136" s="122"/>
    </row>
    <row r="137" spans="1:8">
      <c r="A137" s="25"/>
      <c r="B137" s="6" t="s">
        <v>297</v>
      </c>
      <c r="C137" s="25">
        <v>0</v>
      </c>
      <c r="D137" s="25">
        <v>0</v>
      </c>
      <c r="E137" s="25">
        <v>0</v>
      </c>
      <c r="F137" s="25"/>
      <c r="G137" s="10"/>
      <c r="H137" s="3"/>
    </row>
    <row r="138" spans="1:8">
      <c r="A138" s="38" t="s">
        <v>298</v>
      </c>
      <c r="B138" s="37" t="s">
        <v>197</v>
      </c>
      <c r="C138" s="25">
        <v>0</v>
      </c>
      <c r="D138" s="25">
        <v>0</v>
      </c>
      <c r="E138" s="25">
        <v>0</v>
      </c>
      <c r="F138" s="30"/>
      <c r="G138" s="6"/>
      <c r="H138" s="122"/>
    </row>
    <row r="139" spans="1:8">
      <c r="A139" s="38" t="s">
        <v>299</v>
      </c>
      <c r="B139" s="37" t="s">
        <v>198</v>
      </c>
      <c r="C139" s="25">
        <v>0</v>
      </c>
      <c r="D139" s="25">
        <v>0</v>
      </c>
      <c r="E139" s="25">
        <v>0</v>
      </c>
      <c r="F139" s="30"/>
      <c r="G139" s="6"/>
      <c r="H139" s="122"/>
    </row>
    <row r="140" spans="1:8">
      <c r="A140" s="38" t="s">
        <v>300</v>
      </c>
      <c r="B140" s="37" t="s">
        <v>199</v>
      </c>
      <c r="C140" s="25">
        <v>0</v>
      </c>
      <c r="D140" s="25">
        <v>0</v>
      </c>
      <c r="E140" s="25">
        <v>0</v>
      </c>
      <c r="F140" s="30"/>
      <c r="G140" s="6"/>
      <c r="H140" s="122"/>
    </row>
    <row r="141" spans="1:8">
      <c r="A141" s="38" t="s">
        <v>301</v>
      </c>
      <c r="B141" s="37" t="s">
        <v>200</v>
      </c>
      <c r="C141" s="25" t="s">
        <v>201</v>
      </c>
      <c r="D141" s="25" t="s">
        <v>201</v>
      </c>
      <c r="E141" s="25" t="s">
        <v>201</v>
      </c>
      <c r="F141" s="30"/>
      <c r="G141" s="6"/>
      <c r="H141" s="122"/>
    </row>
    <row r="142" spans="1:8">
      <c r="A142" s="30" t="s">
        <v>302</v>
      </c>
      <c r="B142" s="37" t="s">
        <v>220</v>
      </c>
      <c r="C142" s="25">
        <v>0</v>
      </c>
      <c r="D142" s="25">
        <v>0</v>
      </c>
      <c r="E142" s="25">
        <v>0</v>
      </c>
      <c r="F142" s="30"/>
      <c r="G142" s="6"/>
      <c r="H142" s="122"/>
    </row>
    <row r="143" spans="1:8">
      <c r="A143" s="30" t="s">
        <v>303</v>
      </c>
      <c r="B143" s="37" t="s">
        <v>221</v>
      </c>
      <c r="C143" s="25">
        <v>0</v>
      </c>
      <c r="D143" s="25">
        <v>0</v>
      </c>
      <c r="E143" s="25">
        <v>0</v>
      </c>
      <c r="F143" s="30"/>
      <c r="G143" s="6"/>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0</v>
      </c>
    </row>
    <row r="148" spans="1:9">
      <c r="A148" s="27" t="s">
        <v>169</v>
      </c>
      <c r="B148" s="10" t="s">
        <v>167</v>
      </c>
      <c r="C148" s="9" t="s">
        <v>499</v>
      </c>
    </row>
    <row r="149" spans="1:9">
      <c r="A149" s="27" t="s">
        <v>171</v>
      </c>
      <c r="B149" s="10" t="s">
        <v>168</v>
      </c>
      <c r="C149" s="9" t="s">
        <v>499</v>
      </c>
    </row>
    <row r="150" spans="1:9" ht="24.75">
      <c r="A150" s="38">
        <v>31</v>
      </c>
      <c r="B150" s="33" t="s">
        <v>305</v>
      </c>
      <c r="C150" s="9"/>
    </row>
    <row r="151" spans="1:9">
      <c r="A151" s="27" t="s">
        <v>137</v>
      </c>
      <c r="B151" s="10" t="s">
        <v>170</v>
      </c>
      <c r="C151" s="273">
        <v>1253760</v>
      </c>
    </row>
    <row r="152" spans="1:9">
      <c r="A152" s="27" t="s">
        <v>138</v>
      </c>
      <c r="B152" s="10" t="s">
        <v>172</v>
      </c>
      <c r="C152" s="9" t="s">
        <v>499</v>
      </c>
    </row>
    <row r="153" spans="1:9">
      <c r="A153" s="27"/>
      <c r="B153" s="10"/>
      <c r="C153" s="9"/>
    </row>
    <row r="154" spans="1:9">
      <c r="A154" s="30"/>
      <c r="B154" s="1201" t="s">
        <v>306</v>
      </c>
      <c r="C154" s="1202"/>
    </row>
    <row r="155" spans="1:9">
      <c r="A155" s="30">
        <v>32</v>
      </c>
      <c r="B155" s="26" t="s">
        <v>307</v>
      </c>
      <c r="C155" s="52">
        <f>SUM(C156,C157,C163)</f>
        <v>263287</v>
      </c>
    </row>
    <row r="156" spans="1:9">
      <c r="A156" s="25" t="s">
        <v>308</v>
      </c>
      <c r="B156" s="28" t="s">
        <v>69</v>
      </c>
      <c r="C156" s="25">
        <v>164836</v>
      </c>
    </row>
    <row r="157" spans="1:9">
      <c r="A157" s="27" t="s">
        <v>309</v>
      </c>
      <c r="B157" s="28" t="s">
        <v>70</v>
      </c>
      <c r="C157" s="25">
        <v>76592</v>
      </c>
    </row>
    <row r="158" spans="1:9">
      <c r="A158" s="30">
        <v>33</v>
      </c>
      <c r="B158" s="41" t="s">
        <v>71</v>
      </c>
      <c r="C158" s="25">
        <v>68411</v>
      </c>
    </row>
    <row r="159" spans="1:9">
      <c r="A159" s="30">
        <v>34</v>
      </c>
      <c r="B159" s="26" t="s">
        <v>310</v>
      </c>
      <c r="C159" s="52">
        <v>8423</v>
      </c>
    </row>
    <row r="160" spans="1:9">
      <c r="A160" s="25" t="s">
        <v>173</v>
      </c>
      <c r="B160" s="28" t="s">
        <v>72</v>
      </c>
      <c r="C160" s="25">
        <v>457</v>
      </c>
    </row>
    <row r="161" spans="1:7">
      <c r="A161" s="27" t="s">
        <v>175</v>
      </c>
      <c r="B161" s="28" t="s">
        <v>73</v>
      </c>
      <c r="C161" s="25">
        <v>4368</v>
      </c>
    </row>
    <row r="162" spans="1:7">
      <c r="A162" s="27" t="s">
        <v>177</v>
      </c>
      <c r="B162" s="28" t="s">
        <v>214</v>
      </c>
      <c r="C162" s="25">
        <v>3598</v>
      </c>
    </row>
    <row r="163" spans="1:7">
      <c r="A163" s="23">
        <v>35</v>
      </c>
      <c r="B163" s="26" t="s">
        <v>311</v>
      </c>
      <c r="C163" s="52">
        <v>21859</v>
      </c>
    </row>
    <row r="164" spans="1:7">
      <c r="A164" s="39" t="s">
        <v>312</v>
      </c>
      <c r="B164" s="41" t="s">
        <v>174</v>
      </c>
      <c r="C164" s="25">
        <v>21859</v>
      </c>
    </row>
    <row r="165" spans="1:7">
      <c r="A165" s="27" t="s">
        <v>313</v>
      </c>
      <c r="B165" s="41" t="s">
        <v>176</v>
      </c>
      <c r="C165" s="25" t="s">
        <v>499</v>
      </c>
    </row>
    <row r="166" spans="1:7">
      <c r="A166" s="27" t="s">
        <v>314</v>
      </c>
      <c r="B166" s="41" t="s">
        <v>178</v>
      </c>
      <c r="C166" s="25" t="s">
        <v>499</v>
      </c>
    </row>
    <row r="168" spans="1:7">
      <c r="A168" s="23"/>
      <c r="B168" s="129" t="s">
        <v>87</v>
      </c>
      <c r="C168" s="127"/>
      <c r="D168" s="127"/>
      <c r="E168" s="130"/>
      <c r="F168" s="131"/>
    </row>
    <row r="169" spans="1:7">
      <c r="A169" s="23">
        <v>36</v>
      </c>
      <c r="B169" s="132" t="s">
        <v>74</v>
      </c>
      <c r="C169" s="133">
        <v>28176</v>
      </c>
      <c r="D169" s="134"/>
      <c r="E169" s="46"/>
      <c r="F169" s="46"/>
      <c r="G169" s="135"/>
    </row>
    <row r="170" spans="1:7">
      <c r="A170" s="23">
        <v>37</v>
      </c>
      <c r="B170" s="41" t="s">
        <v>75</v>
      </c>
      <c r="C170" s="136">
        <v>9751</v>
      </c>
      <c r="D170" s="134"/>
      <c r="E170" s="46"/>
      <c r="F170" s="46"/>
      <c r="G170" s="135"/>
    </row>
    <row r="171" spans="1:7">
      <c r="A171" s="23">
        <v>38</v>
      </c>
      <c r="B171" s="26" t="s">
        <v>315</v>
      </c>
      <c r="C171" s="54">
        <f>SUM(C172:C174)</f>
        <v>9990</v>
      </c>
      <c r="D171" s="137"/>
      <c r="E171" s="138"/>
      <c r="F171" s="138"/>
      <c r="G171" s="138"/>
    </row>
    <row r="172" spans="1:7">
      <c r="A172" s="39" t="s">
        <v>118</v>
      </c>
      <c r="B172" s="28" t="s">
        <v>208</v>
      </c>
      <c r="C172" s="133">
        <v>5931</v>
      </c>
      <c r="D172" s="134"/>
      <c r="E172" s="46"/>
      <c r="F172" s="46"/>
      <c r="G172" s="135"/>
    </row>
    <row r="173" spans="1:7">
      <c r="A173" s="39" t="s">
        <v>119</v>
      </c>
      <c r="B173" s="28" t="s">
        <v>209</v>
      </c>
      <c r="C173" s="40">
        <v>631</v>
      </c>
      <c r="D173" s="134"/>
      <c r="E173" s="46"/>
      <c r="F173" s="46"/>
      <c r="G173" s="135"/>
    </row>
    <row r="174" spans="1:7">
      <c r="A174" s="27" t="s">
        <v>120</v>
      </c>
      <c r="B174" s="28" t="s">
        <v>210</v>
      </c>
      <c r="C174" s="40">
        <v>3428</v>
      </c>
      <c r="D174" s="134"/>
      <c r="E174" s="46"/>
      <c r="F174" s="46"/>
      <c r="G174" s="135"/>
    </row>
    <row r="175" spans="1:7">
      <c r="A175" s="23">
        <v>39</v>
      </c>
      <c r="B175" s="26" t="s">
        <v>316</v>
      </c>
      <c r="C175" s="54">
        <f>SUM(C176:C178)</f>
        <v>27937</v>
      </c>
      <c r="D175" s="134"/>
      <c r="E175" s="46"/>
      <c r="F175" s="46"/>
      <c r="G175" s="135"/>
    </row>
    <row r="176" spans="1:7">
      <c r="A176" s="39" t="s">
        <v>317</v>
      </c>
      <c r="B176" s="28" t="s">
        <v>76</v>
      </c>
      <c r="C176" s="40">
        <v>3584</v>
      </c>
      <c r="D176" s="134"/>
      <c r="E176" s="46"/>
      <c r="F176" s="46"/>
      <c r="G176" s="135"/>
    </row>
    <row r="177" spans="1:7">
      <c r="A177" s="39" t="s">
        <v>318</v>
      </c>
      <c r="B177" s="28" t="s">
        <v>77</v>
      </c>
      <c r="C177" s="40">
        <v>43</v>
      </c>
      <c r="D177" s="134"/>
      <c r="E177" s="46"/>
      <c r="F177" s="46"/>
      <c r="G177" s="135"/>
    </row>
    <row r="178" spans="1:7">
      <c r="A178" s="27" t="s">
        <v>319</v>
      </c>
      <c r="B178" s="28" t="s">
        <v>78</v>
      </c>
      <c r="C178" s="40">
        <v>24310</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31491</v>
      </c>
      <c r="D181" s="134"/>
      <c r="E181" s="46"/>
      <c r="F181" s="46"/>
      <c r="G181" s="135"/>
    </row>
    <row r="182" spans="1:7">
      <c r="A182" s="23">
        <v>41</v>
      </c>
      <c r="B182" s="41" t="s">
        <v>75</v>
      </c>
      <c r="C182" s="40">
        <v>16964</v>
      </c>
      <c r="D182" s="134"/>
      <c r="E182" s="46"/>
      <c r="F182" s="46"/>
      <c r="G182" s="135"/>
    </row>
    <row r="183" spans="1:7">
      <c r="A183" s="23">
        <v>42</v>
      </c>
      <c r="B183" s="26" t="s">
        <v>320</v>
      </c>
      <c r="C183" s="54">
        <f>SUM(C184:C186)</f>
        <v>8679</v>
      </c>
      <c r="D183" s="134"/>
      <c r="E183" s="46"/>
      <c r="F183" s="46"/>
      <c r="G183" s="135"/>
    </row>
    <row r="184" spans="1:7">
      <c r="A184" s="39" t="s">
        <v>96</v>
      </c>
      <c r="B184" s="28" t="s">
        <v>211</v>
      </c>
      <c r="C184" s="136">
        <v>2378</v>
      </c>
      <c r="D184" s="134"/>
      <c r="E184" s="46"/>
      <c r="F184" s="46"/>
      <c r="G184" s="135"/>
    </row>
    <row r="185" spans="1:7">
      <c r="A185" s="39" t="s">
        <v>97</v>
      </c>
      <c r="B185" s="28" t="s">
        <v>212</v>
      </c>
      <c r="C185" s="40">
        <v>579</v>
      </c>
      <c r="D185" s="140"/>
      <c r="E185" s="141"/>
      <c r="F185" s="46"/>
      <c r="G185" s="135"/>
    </row>
    <row r="186" spans="1:7">
      <c r="A186" s="27" t="s">
        <v>98</v>
      </c>
      <c r="B186" s="28" t="s">
        <v>213</v>
      </c>
      <c r="C186" s="25">
        <v>5722</v>
      </c>
      <c r="D186" s="25"/>
      <c r="E186" s="25"/>
      <c r="F186" s="46"/>
    </row>
    <row r="187" spans="1:7">
      <c r="A187" s="23">
        <v>43</v>
      </c>
      <c r="B187" s="26" t="s">
        <v>321</v>
      </c>
      <c r="C187" s="54">
        <f>SUM(C188:C190)</f>
        <v>39776</v>
      </c>
      <c r="D187" s="25"/>
      <c r="E187" s="25"/>
      <c r="F187" s="46"/>
    </row>
    <row r="188" spans="1:7">
      <c r="A188" s="39" t="s">
        <v>100</v>
      </c>
      <c r="B188" s="28" t="s">
        <v>76</v>
      </c>
      <c r="C188" s="40">
        <v>7515</v>
      </c>
      <c r="D188" s="25"/>
      <c r="E188" s="25"/>
      <c r="F188" s="46"/>
    </row>
    <row r="189" spans="1:7">
      <c r="A189" s="39" t="s">
        <v>101</v>
      </c>
      <c r="B189" s="28" t="s">
        <v>77</v>
      </c>
      <c r="C189" s="40">
        <v>252</v>
      </c>
      <c r="D189" s="25"/>
      <c r="E189" s="25"/>
      <c r="F189" s="46"/>
    </row>
    <row r="190" spans="1:7">
      <c r="A190" s="25" t="s">
        <v>102</v>
      </c>
      <c r="B190" s="13" t="s">
        <v>78</v>
      </c>
      <c r="C190" s="40">
        <v>32009</v>
      </c>
      <c r="D190" s="25"/>
      <c r="E190" s="25"/>
      <c r="F190" s="46"/>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v>663</v>
      </c>
      <c r="D194" s="52">
        <f>SUM(D195:D197)</f>
        <v>0</v>
      </c>
      <c r="E194" s="52">
        <f>SUM(E195:E197)</f>
        <v>0</v>
      </c>
      <c r="F194" s="145"/>
    </row>
    <row r="195" spans="1:6">
      <c r="A195" s="25" t="s">
        <v>121</v>
      </c>
      <c r="B195" s="13" t="s">
        <v>181</v>
      </c>
      <c r="C195" s="40">
        <v>637</v>
      </c>
      <c r="D195" s="25"/>
      <c r="E195" s="25"/>
      <c r="F195" s="46"/>
    </row>
    <row r="196" spans="1:6">
      <c r="A196" s="25" t="s">
        <v>122</v>
      </c>
      <c r="B196" s="13" t="s">
        <v>182</v>
      </c>
      <c r="C196" s="40">
        <v>0</v>
      </c>
      <c r="D196" s="25"/>
      <c r="E196" s="25"/>
      <c r="F196" s="46"/>
    </row>
    <row r="197" spans="1:6">
      <c r="A197" s="27" t="s">
        <v>123</v>
      </c>
      <c r="B197" s="13" t="s">
        <v>180</v>
      </c>
      <c r="C197" s="40">
        <v>26</v>
      </c>
      <c r="D197" s="25"/>
      <c r="E197" s="25"/>
      <c r="F197" s="46"/>
    </row>
    <row r="198" spans="1:6">
      <c r="A198" s="30">
        <v>45</v>
      </c>
      <c r="B198" s="6" t="s">
        <v>324</v>
      </c>
      <c r="C198" s="54">
        <v>13025</v>
      </c>
      <c r="D198" s="52">
        <f>SUM(D199:D201)</f>
        <v>0</v>
      </c>
      <c r="E198" s="52">
        <f>SUM(E199:E201)</f>
        <v>0</v>
      </c>
      <c r="F198" s="145"/>
    </row>
    <row r="199" spans="1:6">
      <c r="A199" s="25" t="s">
        <v>325</v>
      </c>
      <c r="B199" s="13" t="s">
        <v>80</v>
      </c>
      <c r="C199" s="40">
        <v>12500</v>
      </c>
      <c r="D199" s="25"/>
      <c r="E199" s="25"/>
      <c r="F199" s="46"/>
    </row>
    <row r="200" spans="1:6">
      <c r="A200" s="25" t="s">
        <v>326</v>
      </c>
      <c r="B200" s="13" t="s">
        <v>60</v>
      </c>
      <c r="C200" s="40">
        <v>480</v>
      </c>
      <c r="D200" s="25"/>
      <c r="E200" s="25"/>
      <c r="F200" s="46"/>
    </row>
    <row r="201" spans="1:6">
      <c r="A201" s="27" t="s">
        <v>327</v>
      </c>
      <c r="B201" s="13" t="s">
        <v>180</v>
      </c>
      <c r="C201" s="40">
        <v>45</v>
      </c>
      <c r="D201" s="25"/>
      <c r="E201" s="25"/>
      <c r="F201" s="46"/>
    </row>
    <row r="202" spans="1:6">
      <c r="A202" s="44"/>
      <c r="B202" s="45"/>
      <c r="C202" s="46"/>
      <c r="D202" s="146"/>
      <c r="E202" s="147"/>
      <c r="F202" s="46"/>
    </row>
    <row r="203" spans="1:6">
      <c r="A203" s="30">
        <v>46</v>
      </c>
      <c r="B203" s="10" t="s">
        <v>203</v>
      </c>
      <c r="C203" s="40"/>
      <c r="D203" s="25"/>
      <c r="E203" s="25">
        <v>840</v>
      </c>
      <c r="F203" s="46"/>
    </row>
    <row r="204" spans="1:6">
      <c r="A204" s="30">
        <v>47</v>
      </c>
      <c r="B204" s="49" t="s">
        <v>204</v>
      </c>
      <c r="C204" s="40"/>
      <c r="D204" s="25"/>
      <c r="E204" s="25">
        <v>65</v>
      </c>
      <c r="F204" s="46"/>
    </row>
    <row r="205" spans="1:6">
      <c r="A205" s="30">
        <v>48</v>
      </c>
      <c r="B205" s="10" t="s">
        <v>179</v>
      </c>
      <c r="C205" s="40">
        <v>5</v>
      </c>
      <c r="D205" s="25"/>
      <c r="E205" s="25"/>
      <c r="F205" s="46"/>
    </row>
    <row r="206" spans="1:6">
      <c r="A206" s="30">
        <v>49</v>
      </c>
      <c r="B206" s="10" t="s">
        <v>61</v>
      </c>
      <c r="C206" s="40">
        <v>107</v>
      </c>
      <c r="D206" s="25"/>
      <c r="E206" s="25"/>
      <c r="F206" s="46"/>
    </row>
    <row r="207" spans="1:6">
      <c r="A207" s="148">
        <v>50</v>
      </c>
      <c r="B207" s="48" t="s">
        <v>202</v>
      </c>
      <c r="C207" s="47">
        <v>1</v>
      </c>
      <c r="D207" s="149"/>
      <c r="E207" s="150"/>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c r="D211" s="52"/>
      <c r="E211" s="9"/>
      <c r="F211" s="10"/>
    </row>
    <row r="212" spans="1:6" s="1" customFormat="1">
      <c r="A212" s="27" t="s">
        <v>329</v>
      </c>
      <c r="B212" s="13" t="s">
        <v>226</v>
      </c>
      <c r="C212" s="9"/>
      <c r="D212" s="9"/>
      <c r="E212" s="9"/>
      <c r="F212" s="10"/>
    </row>
    <row r="213" spans="1:6" s="1" customFormat="1">
      <c r="A213" s="27" t="s">
        <v>330</v>
      </c>
      <c r="B213" s="35" t="s">
        <v>128</v>
      </c>
      <c r="C213" s="9">
        <v>0</v>
      </c>
      <c r="D213" s="9">
        <v>0</v>
      </c>
      <c r="E213" s="9">
        <v>330</v>
      </c>
      <c r="F213" s="10"/>
    </row>
    <row r="214" spans="1:6" s="1" customFormat="1">
      <c r="A214" s="27" t="s">
        <v>331</v>
      </c>
      <c r="B214" s="13" t="s">
        <v>227</v>
      </c>
      <c r="C214" s="9"/>
      <c r="D214" s="9"/>
      <c r="E214" s="9"/>
      <c r="F214" s="10"/>
    </row>
    <row r="215" spans="1:6" s="1" customFormat="1">
      <c r="A215" s="27" t="s">
        <v>332</v>
      </c>
      <c r="B215" s="35" t="s">
        <v>130</v>
      </c>
      <c r="C215" s="9"/>
      <c r="D215" s="9"/>
      <c r="E215" s="9"/>
      <c r="F215" s="10"/>
    </row>
    <row r="216" spans="1:6" s="1" customFormat="1">
      <c r="A216" s="27" t="s">
        <v>333</v>
      </c>
      <c r="B216" s="13" t="s">
        <v>232</v>
      </c>
      <c r="C216" s="9">
        <v>0</v>
      </c>
      <c r="D216" s="9">
        <v>0</v>
      </c>
      <c r="E216" s="9">
        <v>3</v>
      </c>
      <c r="F216" s="10"/>
    </row>
    <row r="217" spans="1:6" s="1" customFormat="1">
      <c r="A217" s="27" t="s">
        <v>334</v>
      </c>
      <c r="B217" s="35" t="s">
        <v>131</v>
      </c>
      <c r="C217" s="9"/>
      <c r="D217" s="9"/>
      <c r="E217" s="9"/>
      <c r="F217" s="10"/>
    </row>
    <row r="218" spans="1:6" s="1" customFormat="1">
      <c r="A218" s="27" t="s">
        <v>335</v>
      </c>
      <c r="B218" s="13" t="s">
        <v>233</v>
      </c>
      <c r="C218" s="9"/>
      <c r="D218" s="9"/>
      <c r="E218" s="9"/>
      <c r="F218" s="10"/>
    </row>
    <row r="219" spans="1:6" s="1" customFormat="1">
      <c r="A219" s="27" t="s">
        <v>336</v>
      </c>
      <c r="B219" s="35" t="s">
        <v>132</v>
      </c>
      <c r="C219" s="9">
        <v>0</v>
      </c>
      <c r="D219" s="9">
        <v>0</v>
      </c>
      <c r="E219" s="9">
        <v>19</v>
      </c>
      <c r="F219" s="10"/>
    </row>
    <row r="220" spans="1:6" s="1" customFormat="1">
      <c r="A220" s="27" t="s">
        <v>337</v>
      </c>
      <c r="B220" s="13" t="s">
        <v>234</v>
      </c>
      <c r="C220" s="9"/>
      <c r="D220" s="9"/>
      <c r="E220" s="9"/>
      <c r="F220" s="10"/>
    </row>
    <row r="221" spans="1:6" s="1" customFormat="1">
      <c r="A221" s="27" t="s">
        <v>338</v>
      </c>
      <c r="B221" s="35" t="s">
        <v>133</v>
      </c>
      <c r="C221" s="9"/>
      <c r="D221" s="9"/>
      <c r="E221" s="9"/>
      <c r="F221" s="10"/>
    </row>
    <row r="222" spans="1:6" s="1" customFormat="1">
      <c r="A222" s="27" t="s">
        <v>339</v>
      </c>
      <c r="B222" s="13" t="s">
        <v>235</v>
      </c>
      <c r="C222" s="9">
        <v>0</v>
      </c>
      <c r="D222" s="9">
        <v>0</v>
      </c>
      <c r="E222" s="9">
        <v>8</v>
      </c>
      <c r="F222" s="10"/>
    </row>
    <row r="223" spans="1:6" s="1" customFormat="1">
      <c r="A223" s="27" t="s">
        <v>340</v>
      </c>
      <c r="B223" s="35" t="s">
        <v>134</v>
      </c>
      <c r="C223" s="9"/>
      <c r="D223" s="9"/>
      <c r="E223" s="9"/>
      <c r="F223" s="10"/>
    </row>
    <row r="224" spans="1:6" s="1" customFormat="1">
      <c r="A224" s="27" t="s">
        <v>341</v>
      </c>
      <c r="B224" s="13" t="s">
        <v>236</v>
      </c>
      <c r="C224" s="9"/>
      <c r="D224" s="9"/>
      <c r="E224" s="9"/>
      <c r="F224" s="10"/>
    </row>
    <row r="225" spans="1:8" s="1" customFormat="1">
      <c r="A225" s="27" t="s">
        <v>342</v>
      </c>
      <c r="B225" s="35" t="s">
        <v>135</v>
      </c>
      <c r="C225" s="9"/>
      <c r="D225" s="9"/>
      <c r="E225" s="9"/>
      <c r="F225" s="10"/>
    </row>
    <row r="226" spans="1:8" s="1" customFormat="1">
      <c r="A226" s="27" t="s">
        <v>343</v>
      </c>
      <c r="B226" s="13" t="s">
        <v>237</v>
      </c>
      <c r="C226" s="9"/>
      <c r="D226" s="9"/>
      <c r="E226" s="9"/>
      <c r="F226" s="10"/>
    </row>
    <row r="227" spans="1:8" s="1" customFormat="1" ht="25.5">
      <c r="A227" s="27" t="s">
        <v>344</v>
      </c>
      <c r="B227" s="152" t="s">
        <v>136</v>
      </c>
      <c r="C227" s="9"/>
      <c r="D227" s="9"/>
      <c r="E227" s="9"/>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205">
        <v>1</v>
      </c>
      <c r="D230" s="47"/>
      <c r="E230" s="47"/>
      <c r="F230" s="47"/>
    </row>
    <row r="231" spans="1:8">
      <c r="A231" s="27" t="s">
        <v>347</v>
      </c>
      <c r="B231" s="152" t="s">
        <v>115</v>
      </c>
      <c r="C231" s="164">
        <v>1</v>
      </c>
      <c r="D231" s="47"/>
      <c r="E231" s="47"/>
      <c r="F231" s="47"/>
    </row>
    <row r="232" spans="1:8" ht="25.5">
      <c r="A232" s="27" t="s">
        <v>348</v>
      </c>
      <c r="B232" s="155" t="s">
        <v>239</v>
      </c>
      <c r="C232" s="156" t="s">
        <v>499</v>
      </c>
      <c r="D232" s="47"/>
      <c r="E232" s="47"/>
      <c r="F232" s="47"/>
    </row>
    <row r="233" spans="1:8">
      <c r="A233" s="27" t="s">
        <v>349</v>
      </c>
      <c r="B233" s="152" t="s">
        <v>116</v>
      </c>
      <c r="C233" s="156" t="s">
        <v>499</v>
      </c>
      <c r="D233" s="47"/>
      <c r="E233" s="47"/>
      <c r="F233" s="47"/>
    </row>
    <row r="234" spans="1:8" ht="25.5">
      <c r="A234" s="27" t="s">
        <v>350</v>
      </c>
      <c r="B234" s="155" t="s">
        <v>240</v>
      </c>
      <c r="C234" s="156">
        <v>5</v>
      </c>
      <c r="D234" s="47"/>
      <c r="E234" s="47"/>
      <c r="F234" s="47"/>
    </row>
    <row r="235" spans="1:8">
      <c r="A235" s="27" t="s">
        <v>351</v>
      </c>
      <c r="B235" s="152" t="s">
        <v>117</v>
      </c>
      <c r="C235" s="157" t="s">
        <v>499</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93</v>
      </c>
      <c r="D239" s="25"/>
      <c r="E239" s="40"/>
      <c r="F239" s="40"/>
      <c r="G239" s="10"/>
      <c r="H239" s="3"/>
    </row>
    <row r="240" spans="1:8">
      <c r="A240" s="30">
        <v>53</v>
      </c>
      <c r="B240" s="10" t="s">
        <v>63</v>
      </c>
      <c r="C240" s="25">
        <v>41974</v>
      </c>
      <c r="D240" s="25"/>
      <c r="E240" s="40"/>
      <c r="F240" s="40"/>
      <c r="G240" s="10"/>
      <c r="H240" s="3"/>
    </row>
    <row r="241" spans="1:10">
      <c r="A241" s="30">
        <v>54</v>
      </c>
      <c r="B241" s="10" t="s">
        <v>215</v>
      </c>
      <c r="C241" s="25">
        <v>67</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2035</v>
      </c>
      <c r="D245" s="52">
        <f>SUM(D246:D251)</f>
        <v>0</v>
      </c>
      <c r="E245" s="54">
        <f>SUM(E246:E251)</f>
        <v>7859</v>
      </c>
      <c r="F245" s="54">
        <f>SUM(F246:F251)</f>
        <v>0</v>
      </c>
      <c r="G245" s="52">
        <f>SUM(C245:F245)</f>
        <v>9894</v>
      </c>
      <c r="H245" s="145"/>
    </row>
    <row r="246" spans="1:10">
      <c r="A246" s="25" t="s">
        <v>353</v>
      </c>
      <c r="B246" s="13" t="s">
        <v>64</v>
      </c>
      <c r="C246" s="25">
        <v>2035</v>
      </c>
      <c r="D246" s="25"/>
      <c r="E246" s="40">
        <v>7224</v>
      </c>
      <c r="F246" s="40"/>
      <c r="G246" s="10"/>
      <c r="H246" s="3"/>
      <c r="J246" s="25"/>
    </row>
    <row r="247" spans="1:10">
      <c r="A247" s="27" t="s">
        <v>354</v>
      </c>
      <c r="B247" s="13" t="s">
        <v>65</v>
      </c>
      <c r="C247" s="25" t="s">
        <v>475</v>
      </c>
      <c r="D247" s="25"/>
      <c r="E247" s="40"/>
      <c r="F247" s="40"/>
      <c r="G247" s="10"/>
      <c r="H247" s="3"/>
    </row>
    <row r="248" spans="1:10">
      <c r="A248" s="27" t="s">
        <v>355</v>
      </c>
      <c r="B248" s="13" t="s">
        <v>66</v>
      </c>
      <c r="C248" s="25" t="s">
        <v>475</v>
      </c>
      <c r="D248" s="25"/>
      <c r="E248" s="40"/>
      <c r="F248" s="40"/>
      <c r="G248" s="10"/>
      <c r="H248" s="3"/>
    </row>
    <row r="249" spans="1:10">
      <c r="A249" s="27" t="s">
        <v>356</v>
      </c>
      <c r="B249" s="13" t="s">
        <v>67</v>
      </c>
      <c r="C249" s="25"/>
      <c r="D249" s="25"/>
      <c r="E249" s="40">
        <v>383</v>
      </c>
      <c r="F249" s="40"/>
      <c r="G249" s="10"/>
      <c r="H249" s="3"/>
    </row>
    <row r="250" spans="1:10">
      <c r="A250" s="25" t="s">
        <v>357</v>
      </c>
      <c r="B250" s="13" t="s">
        <v>68</v>
      </c>
      <c r="C250" s="25"/>
      <c r="D250" s="25"/>
      <c r="E250" s="40">
        <v>252</v>
      </c>
      <c r="F250" s="40"/>
      <c r="G250" s="10"/>
      <c r="H250" s="3"/>
    </row>
    <row r="251" spans="1:10" ht="24.75">
      <c r="A251" s="27" t="s">
        <v>358</v>
      </c>
      <c r="B251" s="155" t="s">
        <v>183</v>
      </c>
      <c r="C251" s="25" t="s">
        <v>475</v>
      </c>
      <c r="D251" s="25"/>
      <c r="E251" s="40"/>
      <c r="F251" s="40"/>
      <c r="G251" s="10"/>
      <c r="H251" s="3"/>
    </row>
    <row r="252" spans="1:10" ht="15">
      <c r="B252" s="161"/>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legacyDrawing r:id="rId2"/>
</worksheet>
</file>

<file path=xl/worksheets/sheet11.xml><?xml version="1.0" encoding="utf-8"?>
<worksheet xmlns="http://schemas.openxmlformats.org/spreadsheetml/2006/main" xmlns:r="http://schemas.openxmlformats.org/officeDocument/2006/relationships">
  <dimension ref="A1:J252"/>
  <sheetViews>
    <sheetView topLeftCell="A32" zoomScaleNormal="100" workbookViewId="0">
      <selection activeCell="D249" sqref="D249"/>
    </sheetView>
  </sheetViews>
  <sheetFormatPr defaultColWidth="9.140625" defaultRowHeight="12.75"/>
  <cols>
    <col min="1" max="1" width="11.28515625" customWidth="1"/>
    <col min="2" max="2" width="60.28515625" customWidth="1"/>
    <col min="3" max="3" width="11.28515625" style="60" customWidth="1"/>
    <col min="4" max="4" width="10.7109375" customWidth="1"/>
    <col min="5" max="5" width="11.140625" customWidth="1"/>
    <col min="6" max="6" width="6.28515625" customWidth="1"/>
    <col min="7" max="7" width="11.85546875" customWidth="1"/>
    <col min="257" max="257" width="11.28515625" customWidth="1"/>
    <col min="258" max="258" width="60.28515625" customWidth="1"/>
    <col min="259" max="259" width="11.28515625" customWidth="1"/>
    <col min="260" max="260" width="10.7109375" customWidth="1"/>
    <col min="261" max="261" width="11.140625" customWidth="1"/>
    <col min="262" max="262" width="6.28515625" customWidth="1"/>
    <col min="263" max="263" width="11.85546875" customWidth="1"/>
    <col min="513" max="513" width="11.28515625" customWidth="1"/>
    <col min="514" max="514" width="60.28515625" customWidth="1"/>
    <col min="515" max="515" width="11.28515625" customWidth="1"/>
    <col min="516" max="516" width="10.7109375" customWidth="1"/>
    <col min="517" max="517" width="11.140625" customWidth="1"/>
    <col min="518" max="518" width="6.28515625" customWidth="1"/>
    <col min="519" max="519" width="11.85546875" customWidth="1"/>
    <col min="769" max="769" width="11.28515625" customWidth="1"/>
    <col min="770" max="770" width="60.28515625" customWidth="1"/>
    <col min="771" max="771" width="11.28515625" customWidth="1"/>
    <col min="772" max="772" width="10.7109375" customWidth="1"/>
    <col min="773" max="773" width="11.140625" customWidth="1"/>
    <col min="774" max="774" width="6.28515625" customWidth="1"/>
    <col min="775" max="775" width="11.85546875" customWidth="1"/>
    <col min="1025" max="1025" width="11.28515625" customWidth="1"/>
    <col min="1026" max="1026" width="60.28515625" customWidth="1"/>
    <col min="1027" max="1027" width="11.28515625" customWidth="1"/>
    <col min="1028" max="1028" width="10.7109375" customWidth="1"/>
    <col min="1029" max="1029" width="11.140625" customWidth="1"/>
    <col min="1030" max="1030" width="6.28515625" customWidth="1"/>
    <col min="1031" max="1031" width="11.85546875" customWidth="1"/>
    <col min="1281" max="1281" width="11.28515625" customWidth="1"/>
    <col min="1282" max="1282" width="60.28515625" customWidth="1"/>
    <col min="1283" max="1283" width="11.28515625" customWidth="1"/>
    <col min="1284" max="1284" width="10.7109375" customWidth="1"/>
    <col min="1285" max="1285" width="11.140625" customWidth="1"/>
    <col min="1286" max="1286" width="6.28515625" customWidth="1"/>
    <col min="1287" max="1287" width="11.85546875" customWidth="1"/>
    <col min="1537" max="1537" width="11.28515625" customWidth="1"/>
    <col min="1538" max="1538" width="60.28515625" customWidth="1"/>
    <col min="1539" max="1539" width="11.28515625" customWidth="1"/>
    <col min="1540" max="1540" width="10.7109375" customWidth="1"/>
    <col min="1541" max="1541" width="11.140625" customWidth="1"/>
    <col min="1542" max="1542" width="6.28515625" customWidth="1"/>
    <col min="1543" max="1543" width="11.85546875" customWidth="1"/>
    <col min="1793" max="1793" width="11.28515625" customWidth="1"/>
    <col min="1794" max="1794" width="60.28515625" customWidth="1"/>
    <col min="1795" max="1795" width="11.28515625" customWidth="1"/>
    <col min="1796" max="1796" width="10.7109375" customWidth="1"/>
    <col min="1797" max="1797" width="11.140625" customWidth="1"/>
    <col min="1798" max="1798" width="6.28515625" customWidth="1"/>
    <col min="1799" max="1799" width="11.85546875" customWidth="1"/>
    <col min="2049" max="2049" width="11.28515625" customWidth="1"/>
    <col min="2050" max="2050" width="60.28515625" customWidth="1"/>
    <col min="2051" max="2051" width="11.28515625" customWidth="1"/>
    <col min="2052" max="2052" width="10.7109375" customWidth="1"/>
    <col min="2053" max="2053" width="11.140625" customWidth="1"/>
    <col min="2054" max="2054" width="6.28515625" customWidth="1"/>
    <col min="2055" max="2055" width="11.85546875" customWidth="1"/>
    <col min="2305" max="2305" width="11.28515625" customWidth="1"/>
    <col min="2306" max="2306" width="60.28515625" customWidth="1"/>
    <col min="2307" max="2307" width="11.28515625" customWidth="1"/>
    <col min="2308" max="2308" width="10.7109375" customWidth="1"/>
    <col min="2309" max="2309" width="11.140625" customWidth="1"/>
    <col min="2310" max="2310" width="6.28515625" customWidth="1"/>
    <col min="2311" max="2311" width="11.85546875" customWidth="1"/>
    <col min="2561" max="2561" width="11.28515625" customWidth="1"/>
    <col min="2562" max="2562" width="60.28515625" customWidth="1"/>
    <col min="2563" max="2563" width="11.28515625" customWidth="1"/>
    <col min="2564" max="2564" width="10.7109375" customWidth="1"/>
    <col min="2565" max="2565" width="11.140625" customWidth="1"/>
    <col min="2566" max="2566" width="6.28515625" customWidth="1"/>
    <col min="2567" max="2567" width="11.85546875" customWidth="1"/>
    <col min="2817" max="2817" width="11.28515625" customWidth="1"/>
    <col min="2818" max="2818" width="60.28515625" customWidth="1"/>
    <col min="2819" max="2819" width="11.28515625" customWidth="1"/>
    <col min="2820" max="2820" width="10.7109375" customWidth="1"/>
    <col min="2821" max="2821" width="11.140625" customWidth="1"/>
    <col min="2822" max="2822" width="6.28515625" customWidth="1"/>
    <col min="2823" max="2823" width="11.85546875" customWidth="1"/>
    <col min="3073" max="3073" width="11.28515625" customWidth="1"/>
    <col min="3074" max="3074" width="60.28515625" customWidth="1"/>
    <col min="3075" max="3075" width="11.28515625" customWidth="1"/>
    <col min="3076" max="3076" width="10.7109375" customWidth="1"/>
    <col min="3077" max="3077" width="11.140625" customWidth="1"/>
    <col min="3078" max="3078" width="6.28515625" customWidth="1"/>
    <col min="3079" max="3079" width="11.85546875" customWidth="1"/>
    <col min="3329" max="3329" width="11.28515625" customWidth="1"/>
    <col min="3330" max="3330" width="60.28515625" customWidth="1"/>
    <col min="3331" max="3331" width="11.28515625" customWidth="1"/>
    <col min="3332" max="3332" width="10.7109375" customWidth="1"/>
    <col min="3333" max="3333" width="11.140625" customWidth="1"/>
    <col min="3334" max="3334" width="6.28515625" customWidth="1"/>
    <col min="3335" max="3335" width="11.85546875" customWidth="1"/>
    <col min="3585" max="3585" width="11.28515625" customWidth="1"/>
    <col min="3586" max="3586" width="60.28515625" customWidth="1"/>
    <col min="3587" max="3587" width="11.28515625" customWidth="1"/>
    <col min="3588" max="3588" width="10.7109375" customWidth="1"/>
    <col min="3589" max="3589" width="11.140625" customWidth="1"/>
    <col min="3590" max="3590" width="6.28515625" customWidth="1"/>
    <col min="3591" max="3591" width="11.85546875" customWidth="1"/>
    <col min="3841" max="3841" width="11.28515625" customWidth="1"/>
    <col min="3842" max="3842" width="60.28515625" customWidth="1"/>
    <col min="3843" max="3843" width="11.28515625" customWidth="1"/>
    <col min="3844" max="3844" width="10.7109375" customWidth="1"/>
    <col min="3845" max="3845" width="11.140625" customWidth="1"/>
    <col min="3846" max="3846" width="6.28515625" customWidth="1"/>
    <col min="3847" max="3847" width="11.85546875" customWidth="1"/>
    <col min="4097" max="4097" width="11.28515625" customWidth="1"/>
    <col min="4098" max="4098" width="60.28515625" customWidth="1"/>
    <col min="4099" max="4099" width="11.28515625" customWidth="1"/>
    <col min="4100" max="4100" width="10.7109375" customWidth="1"/>
    <col min="4101" max="4101" width="11.140625" customWidth="1"/>
    <col min="4102" max="4102" width="6.28515625" customWidth="1"/>
    <col min="4103" max="4103" width="11.85546875" customWidth="1"/>
    <col min="4353" max="4353" width="11.28515625" customWidth="1"/>
    <col min="4354" max="4354" width="60.28515625" customWidth="1"/>
    <col min="4355" max="4355" width="11.28515625" customWidth="1"/>
    <col min="4356" max="4356" width="10.7109375" customWidth="1"/>
    <col min="4357" max="4357" width="11.140625" customWidth="1"/>
    <col min="4358" max="4358" width="6.28515625" customWidth="1"/>
    <col min="4359" max="4359" width="11.85546875" customWidth="1"/>
    <col min="4609" max="4609" width="11.28515625" customWidth="1"/>
    <col min="4610" max="4610" width="60.28515625" customWidth="1"/>
    <col min="4611" max="4611" width="11.28515625" customWidth="1"/>
    <col min="4612" max="4612" width="10.7109375" customWidth="1"/>
    <col min="4613" max="4613" width="11.140625" customWidth="1"/>
    <col min="4614" max="4614" width="6.28515625" customWidth="1"/>
    <col min="4615" max="4615" width="11.85546875" customWidth="1"/>
    <col min="4865" max="4865" width="11.28515625" customWidth="1"/>
    <col min="4866" max="4866" width="60.28515625" customWidth="1"/>
    <col min="4867" max="4867" width="11.28515625" customWidth="1"/>
    <col min="4868" max="4868" width="10.7109375" customWidth="1"/>
    <col min="4869" max="4869" width="11.140625" customWidth="1"/>
    <col min="4870" max="4870" width="6.28515625" customWidth="1"/>
    <col min="4871" max="4871" width="11.85546875" customWidth="1"/>
    <col min="5121" max="5121" width="11.28515625" customWidth="1"/>
    <col min="5122" max="5122" width="60.28515625" customWidth="1"/>
    <col min="5123" max="5123" width="11.28515625" customWidth="1"/>
    <col min="5124" max="5124" width="10.7109375" customWidth="1"/>
    <col min="5125" max="5125" width="11.140625" customWidth="1"/>
    <col min="5126" max="5126" width="6.28515625" customWidth="1"/>
    <col min="5127" max="5127" width="11.85546875" customWidth="1"/>
    <col min="5377" max="5377" width="11.28515625" customWidth="1"/>
    <col min="5378" max="5378" width="60.28515625" customWidth="1"/>
    <col min="5379" max="5379" width="11.28515625" customWidth="1"/>
    <col min="5380" max="5380" width="10.7109375" customWidth="1"/>
    <col min="5381" max="5381" width="11.140625" customWidth="1"/>
    <col min="5382" max="5382" width="6.28515625" customWidth="1"/>
    <col min="5383" max="5383" width="11.85546875" customWidth="1"/>
    <col min="5633" max="5633" width="11.28515625" customWidth="1"/>
    <col min="5634" max="5634" width="60.28515625" customWidth="1"/>
    <col min="5635" max="5635" width="11.28515625" customWidth="1"/>
    <col min="5636" max="5636" width="10.7109375" customWidth="1"/>
    <col min="5637" max="5637" width="11.140625" customWidth="1"/>
    <col min="5638" max="5638" width="6.28515625" customWidth="1"/>
    <col min="5639" max="5639" width="11.85546875" customWidth="1"/>
    <col min="5889" max="5889" width="11.28515625" customWidth="1"/>
    <col min="5890" max="5890" width="60.28515625" customWidth="1"/>
    <col min="5891" max="5891" width="11.28515625" customWidth="1"/>
    <col min="5892" max="5892" width="10.7109375" customWidth="1"/>
    <col min="5893" max="5893" width="11.140625" customWidth="1"/>
    <col min="5894" max="5894" width="6.28515625" customWidth="1"/>
    <col min="5895" max="5895" width="11.85546875" customWidth="1"/>
    <col min="6145" max="6145" width="11.28515625" customWidth="1"/>
    <col min="6146" max="6146" width="60.28515625" customWidth="1"/>
    <col min="6147" max="6147" width="11.28515625" customWidth="1"/>
    <col min="6148" max="6148" width="10.7109375" customWidth="1"/>
    <col min="6149" max="6149" width="11.140625" customWidth="1"/>
    <col min="6150" max="6150" width="6.28515625" customWidth="1"/>
    <col min="6151" max="6151" width="11.85546875" customWidth="1"/>
    <col min="6401" max="6401" width="11.28515625" customWidth="1"/>
    <col min="6402" max="6402" width="60.28515625" customWidth="1"/>
    <col min="6403" max="6403" width="11.28515625" customWidth="1"/>
    <col min="6404" max="6404" width="10.7109375" customWidth="1"/>
    <col min="6405" max="6405" width="11.140625" customWidth="1"/>
    <col min="6406" max="6406" width="6.28515625" customWidth="1"/>
    <col min="6407" max="6407" width="11.85546875" customWidth="1"/>
    <col min="6657" max="6657" width="11.28515625" customWidth="1"/>
    <col min="6658" max="6658" width="60.28515625" customWidth="1"/>
    <col min="6659" max="6659" width="11.28515625" customWidth="1"/>
    <col min="6660" max="6660" width="10.7109375" customWidth="1"/>
    <col min="6661" max="6661" width="11.140625" customWidth="1"/>
    <col min="6662" max="6662" width="6.28515625" customWidth="1"/>
    <col min="6663" max="6663" width="11.85546875" customWidth="1"/>
    <col min="6913" max="6913" width="11.28515625" customWidth="1"/>
    <col min="6914" max="6914" width="60.28515625" customWidth="1"/>
    <col min="6915" max="6915" width="11.28515625" customWidth="1"/>
    <col min="6916" max="6916" width="10.7109375" customWidth="1"/>
    <col min="6917" max="6917" width="11.140625" customWidth="1"/>
    <col min="6918" max="6918" width="6.28515625" customWidth="1"/>
    <col min="6919" max="6919" width="11.85546875" customWidth="1"/>
    <col min="7169" max="7169" width="11.28515625" customWidth="1"/>
    <col min="7170" max="7170" width="60.28515625" customWidth="1"/>
    <col min="7171" max="7171" width="11.28515625" customWidth="1"/>
    <col min="7172" max="7172" width="10.7109375" customWidth="1"/>
    <col min="7173" max="7173" width="11.140625" customWidth="1"/>
    <col min="7174" max="7174" width="6.28515625" customWidth="1"/>
    <col min="7175" max="7175" width="11.85546875" customWidth="1"/>
    <col min="7425" max="7425" width="11.28515625" customWidth="1"/>
    <col min="7426" max="7426" width="60.28515625" customWidth="1"/>
    <col min="7427" max="7427" width="11.28515625" customWidth="1"/>
    <col min="7428" max="7428" width="10.7109375" customWidth="1"/>
    <col min="7429" max="7429" width="11.140625" customWidth="1"/>
    <col min="7430" max="7430" width="6.28515625" customWidth="1"/>
    <col min="7431" max="7431" width="11.85546875" customWidth="1"/>
    <col min="7681" max="7681" width="11.28515625" customWidth="1"/>
    <col min="7682" max="7682" width="60.28515625" customWidth="1"/>
    <col min="7683" max="7683" width="11.28515625" customWidth="1"/>
    <col min="7684" max="7684" width="10.7109375" customWidth="1"/>
    <col min="7685" max="7685" width="11.140625" customWidth="1"/>
    <col min="7686" max="7686" width="6.28515625" customWidth="1"/>
    <col min="7687" max="7687" width="11.85546875" customWidth="1"/>
    <col min="7937" max="7937" width="11.28515625" customWidth="1"/>
    <col min="7938" max="7938" width="60.28515625" customWidth="1"/>
    <col min="7939" max="7939" width="11.28515625" customWidth="1"/>
    <col min="7940" max="7940" width="10.7109375" customWidth="1"/>
    <col min="7941" max="7941" width="11.140625" customWidth="1"/>
    <col min="7942" max="7942" width="6.28515625" customWidth="1"/>
    <col min="7943" max="7943" width="11.85546875" customWidth="1"/>
    <col min="8193" max="8193" width="11.28515625" customWidth="1"/>
    <col min="8194" max="8194" width="60.28515625" customWidth="1"/>
    <col min="8195" max="8195" width="11.28515625" customWidth="1"/>
    <col min="8196" max="8196" width="10.7109375" customWidth="1"/>
    <col min="8197" max="8197" width="11.140625" customWidth="1"/>
    <col min="8198" max="8198" width="6.28515625" customWidth="1"/>
    <col min="8199" max="8199" width="11.85546875" customWidth="1"/>
    <col min="8449" max="8449" width="11.28515625" customWidth="1"/>
    <col min="8450" max="8450" width="60.28515625" customWidth="1"/>
    <col min="8451" max="8451" width="11.28515625" customWidth="1"/>
    <col min="8452" max="8452" width="10.7109375" customWidth="1"/>
    <col min="8453" max="8453" width="11.140625" customWidth="1"/>
    <col min="8454" max="8454" width="6.28515625" customWidth="1"/>
    <col min="8455" max="8455" width="11.85546875" customWidth="1"/>
    <col min="8705" max="8705" width="11.28515625" customWidth="1"/>
    <col min="8706" max="8706" width="60.28515625" customWidth="1"/>
    <col min="8707" max="8707" width="11.28515625" customWidth="1"/>
    <col min="8708" max="8708" width="10.7109375" customWidth="1"/>
    <col min="8709" max="8709" width="11.140625" customWidth="1"/>
    <col min="8710" max="8710" width="6.28515625" customWidth="1"/>
    <col min="8711" max="8711" width="11.85546875" customWidth="1"/>
    <col min="8961" max="8961" width="11.28515625" customWidth="1"/>
    <col min="8962" max="8962" width="60.28515625" customWidth="1"/>
    <col min="8963" max="8963" width="11.28515625" customWidth="1"/>
    <col min="8964" max="8964" width="10.7109375" customWidth="1"/>
    <col min="8965" max="8965" width="11.140625" customWidth="1"/>
    <col min="8966" max="8966" width="6.28515625" customWidth="1"/>
    <col min="8967" max="8967" width="11.85546875" customWidth="1"/>
    <col min="9217" max="9217" width="11.28515625" customWidth="1"/>
    <col min="9218" max="9218" width="60.28515625" customWidth="1"/>
    <col min="9219" max="9219" width="11.28515625" customWidth="1"/>
    <col min="9220" max="9220" width="10.7109375" customWidth="1"/>
    <col min="9221" max="9221" width="11.140625" customWidth="1"/>
    <col min="9222" max="9222" width="6.28515625" customWidth="1"/>
    <col min="9223" max="9223" width="11.85546875" customWidth="1"/>
    <col min="9473" max="9473" width="11.28515625" customWidth="1"/>
    <col min="9474" max="9474" width="60.28515625" customWidth="1"/>
    <col min="9475" max="9475" width="11.28515625" customWidth="1"/>
    <col min="9476" max="9476" width="10.7109375" customWidth="1"/>
    <col min="9477" max="9477" width="11.140625" customWidth="1"/>
    <col min="9478" max="9478" width="6.28515625" customWidth="1"/>
    <col min="9479" max="9479" width="11.85546875" customWidth="1"/>
    <col min="9729" max="9729" width="11.28515625" customWidth="1"/>
    <col min="9730" max="9730" width="60.28515625" customWidth="1"/>
    <col min="9731" max="9731" width="11.28515625" customWidth="1"/>
    <col min="9732" max="9732" width="10.7109375" customWidth="1"/>
    <col min="9733" max="9733" width="11.140625" customWidth="1"/>
    <col min="9734" max="9734" width="6.28515625" customWidth="1"/>
    <col min="9735" max="9735" width="11.85546875" customWidth="1"/>
    <col min="9985" max="9985" width="11.28515625" customWidth="1"/>
    <col min="9986" max="9986" width="60.28515625" customWidth="1"/>
    <col min="9987" max="9987" width="11.28515625" customWidth="1"/>
    <col min="9988" max="9988" width="10.7109375" customWidth="1"/>
    <col min="9989" max="9989" width="11.140625" customWidth="1"/>
    <col min="9990" max="9990" width="6.28515625" customWidth="1"/>
    <col min="9991" max="9991" width="11.85546875" customWidth="1"/>
    <col min="10241" max="10241" width="11.28515625" customWidth="1"/>
    <col min="10242" max="10242" width="60.28515625" customWidth="1"/>
    <col min="10243" max="10243" width="11.28515625" customWidth="1"/>
    <col min="10244" max="10244" width="10.7109375" customWidth="1"/>
    <col min="10245" max="10245" width="11.140625" customWidth="1"/>
    <col min="10246" max="10246" width="6.28515625" customWidth="1"/>
    <col min="10247" max="10247" width="11.85546875" customWidth="1"/>
    <col min="10497" max="10497" width="11.28515625" customWidth="1"/>
    <col min="10498" max="10498" width="60.28515625" customWidth="1"/>
    <col min="10499" max="10499" width="11.28515625" customWidth="1"/>
    <col min="10500" max="10500" width="10.7109375" customWidth="1"/>
    <col min="10501" max="10501" width="11.140625" customWidth="1"/>
    <col min="10502" max="10502" width="6.28515625" customWidth="1"/>
    <col min="10503" max="10503" width="11.85546875" customWidth="1"/>
    <col min="10753" max="10753" width="11.28515625" customWidth="1"/>
    <col min="10754" max="10754" width="60.28515625" customWidth="1"/>
    <col min="10755" max="10755" width="11.28515625" customWidth="1"/>
    <col min="10756" max="10756" width="10.7109375" customWidth="1"/>
    <col min="10757" max="10757" width="11.140625" customWidth="1"/>
    <col min="10758" max="10758" width="6.28515625" customWidth="1"/>
    <col min="10759" max="10759" width="11.85546875" customWidth="1"/>
    <col min="11009" max="11009" width="11.28515625" customWidth="1"/>
    <col min="11010" max="11010" width="60.28515625" customWidth="1"/>
    <col min="11011" max="11011" width="11.28515625" customWidth="1"/>
    <col min="11012" max="11012" width="10.7109375" customWidth="1"/>
    <col min="11013" max="11013" width="11.140625" customWidth="1"/>
    <col min="11014" max="11014" width="6.28515625" customWidth="1"/>
    <col min="11015" max="11015" width="11.85546875" customWidth="1"/>
    <col min="11265" max="11265" width="11.28515625" customWidth="1"/>
    <col min="11266" max="11266" width="60.28515625" customWidth="1"/>
    <col min="11267" max="11267" width="11.28515625" customWidth="1"/>
    <col min="11268" max="11268" width="10.7109375" customWidth="1"/>
    <col min="11269" max="11269" width="11.140625" customWidth="1"/>
    <col min="11270" max="11270" width="6.28515625" customWidth="1"/>
    <col min="11271" max="11271" width="11.85546875" customWidth="1"/>
    <col min="11521" max="11521" width="11.28515625" customWidth="1"/>
    <col min="11522" max="11522" width="60.28515625" customWidth="1"/>
    <col min="11523" max="11523" width="11.28515625" customWidth="1"/>
    <col min="11524" max="11524" width="10.7109375" customWidth="1"/>
    <col min="11525" max="11525" width="11.140625" customWidth="1"/>
    <col min="11526" max="11526" width="6.28515625" customWidth="1"/>
    <col min="11527" max="11527" width="11.85546875" customWidth="1"/>
    <col min="11777" max="11777" width="11.28515625" customWidth="1"/>
    <col min="11778" max="11778" width="60.28515625" customWidth="1"/>
    <col min="11779" max="11779" width="11.28515625" customWidth="1"/>
    <col min="11780" max="11780" width="10.7109375" customWidth="1"/>
    <col min="11781" max="11781" width="11.140625" customWidth="1"/>
    <col min="11782" max="11782" width="6.28515625" customWidth="1"/>
    <col min="11783" max="11783" width="11.85546875" customWidth="1"/>
    <col min="12033" max="12033" width="11.28515625" customWidth="1"/>
    <col min="12034" max="12034" width="60.28515625" customWidth="1"/>
    <col min="12035" max="12035" width="11.28515625" customWidth="1"/>
    <col min="12036" max="12036" width="10.7109375" customWidth="1"/>
    <col min="12037" max="12037" width="11.140625" customWidth="1"/>
    <col min="12038" max="12038" width="6.28515625" customWidth="1"/>
    <col min="12039" max="12039" width="11.85546875" customWidth="1"/>
    <col min="12289" max="12289" width="11.28515625" customWidth="1"/>
    <col min="12290" max="12290" width="60.28515625" customWidth="1"/>
    <col min="12291" max="12291" width="11.28515625" customWidth="1"/>
    <col min="12292" max="12292" width="10.7109375" customWidth="1"/>
    <col min="12293" max="12293" width="11.140625" customWidth="1"/>
    <col min="12294" max="12294" width="6.28515625" customWidth="1"/>
    <col min="12295" max="12295" width="11.85546875" customWidth="1"/>
    <col min="12545" max="12545" width="11.28515625" customWidth="1"/>
    <col min="12546" max="12546" width="60.28515625" customWidth="1"/>
    <col min="12547" max="12547" width="11.28515625" customWidth="1"/>
    <col min="12548" max="12548" width="10.7109375" customWidth="1"/>
    <col min="12549" max="12549" width="11.140625" customWidth="1"/>
    <col min="12550" max="12550" width="6.28515625" customWidth="1"/>
    <col min="12551" max="12551" width="11.85546875" customWidth="1"/>
    <col min="12801" max="12801" width="11.28515625" customWidth="1"/>
    <col min="12802" max="12802" width="60.28515625" customWidth="1"/>
    <col min="12803" max="12803" width="11.28515625" customWidth="1"/>
    <col min="12804" max="12804" width="10.7109375" customWidth="1"/>
    <col min="12805" max="12805" width="11.140625" customWidth="1"/>
    <col min="12806" max="12806" width="6.28515625" customWidth="1"/>
    <col min="12807" max="12807" width="11.85546875" customWidth="1"/>
    <col min="13057" max="13057" width="11.28515625" customWidth="1"/>
    <col min="13058" max="13058" width="60.28515625" customWidth="1"/>
    <col min="13059" max="13059" width="11.28515625" customWidth="1"/>
    <col min="13060" max="13060" width="10.7109375" customWidth="1"/>
    <col min="13061" max="13061" width="11.140625" customWidth="1"/>
    <col min="13062" max="13062" width="6.28515625" customWidth="1"/>
    <col min="13063" max="13063" width="11.85546875" customWidth="1"/>
    <col min="13313" max="13313" width="11.28515625" customWidth="1"/>
    <col min="13314" max="13314" width="60.28515625" customWidth="1"/>
    <col min="13315" max="13315" width="11.28515625" customWidth="1"/>
    <col min="13316" max="13316" width="10.7109375" customWidth="1"/>
    <col min="13317" max="13317" width="11.140625" customWidth="1"/>
    <col min="13318" max="13318" width="6.28515625" customWidth="1"/>
    <col min="13319" max="13319" width="11.85546875" customWidth="1"/>
    <col min="13569" max="13569" width="11.28515625" customWidth="1"/>
    <col min="13570" max="13570" width="60.28515625" customWidth="1"/>
    <col min="13571" max="13571" width="11.28515625" customWidth="1"/>
    <col min="13572" max="13572" width="10.7109375" customWidth="1"/>
    <col min="13573" max="13573" width="11.140625" customWidth="1"/>
    <col min="13574" max="13574" width="6.28515625" customWidth="1"/>
    <col min="13575" max="13575" width="11.85546875" customWidth="1"/>
    <col min="13825" max="13825" width="11.28515625" customWidth="1"/>
    <col min="13826" max="13826" width="60.28515625" customWidth="1"/>
    <col min="13827" max="13827" width="11.28515625" customWidth="1"/>
    <col min="13828" max="13828" width="10.7109375" customWidth="1"/>
    <col min="13829" max="13829" width="11.140625" customWidth="1"/>
    <col min="13830" max="13830" width="6.28515625" customWidth="1"/>
    <col min="13831" max="13831" width="11.85546875" customWidth="1"/>
    <col min="14081" max="14081" width="11.28515625" customWidth="1"/>
    <col min="14082" max="14082" width="60.28515625" customWidth="1"/>
    <col min="14083" max="14083" width="11.28515625" customWidth="1"/>
    <col min="14084" max="14084" width="10.7109375" customWidth="1"/>
    <col min="14085" max="14085" width="11.140625" customWidth="1"/>
    <col min="14086" max="14086" width="6.28515625" customWidth="1"/>
    <col min="14087" max="14087" width="11.85546875" customWidth="1"/>
    <col min="14337" max="14337" width="11.28515625" customWidth="1"/>
    <col min="14338" max="14338" width="60.28515625" customWidth="1"/>
    <col min="14339" max="14339" width="11.28515625" customWidth="1"/>
    <col min="14340" max="14340" width="10.7109375" customWidth="1"/>
    <col min="14341" max="14341" width="11.140625" customWidth="1"/>
    <col min="14342" max="14342" width="6.28515625" customWidth="1"/>
    <col min="14343" max="14343" width="11.85546875" customWidth="1"/>
    <col min="14593" max="14593" width="11.28515625" customWidth="1"/>
    <col min="14594" max="14594" width="60.28515625" customWidth="1"/>
    <col min="14595" max="14595" width="11.28515625" customWidth="1"/>
    <col min="14596" max="14596" width="10.7109375" customWidth="1"/>
    <col min="14597" max="14597" width="11.140625" customWidth="1"/>
    <col min="14598" max="14598" width="6.28515625" customWidth="1"/>
    <col min="14599" max="14599" width="11.85546875" customWidth="1"/>
    <col min="14849" max="14849" width="11.28515625" customWidth="1"/>
    <col min="14850" max="14850" width="60.28515625" customWidth="1"/>
    <col min="14851" max="14851" width="11.28515625" customWidth="1"/>
    <col min="14852" max="14852" width="10.7109375" customWidth="1"/>
    <col min="14853" max="14853" width="11.140625" customWidth="1"/>
    <col min="14854" max="14854" width="6.28515625" customWidth="1"/>
    <col min="14855" max="14855" width="11.85546875" customWidth="1"/>
    <col min="15105" max="15105" width="11.28515625" customWidth="1"/>
    <col min="15106" max="15106" width="60.28515625" customWidth="1"/>
    <col min="15107" max="15107" width="11.28515625" customWidth="1"/>
    <col min="15108" max="15108" width="10.7109375" customWidth="1"/>
    <col min="15109" max="15109" width="11.140625" customWidth="1"/>
    <col min="15110" max="15110" width="6.28515625" customWidth="1"/>
    <col min="15111" max="15111" width="11.85546875" customWidth="1"/>
    <col min="15361" max="15361" width="11.28515625" customWidth="1"/>
    <col min="15362" max="15362" width="60.28515625" customWidth="1"/>
    <col min="15363" max="15363" width="11.28515625" customWidth="1"/>
    <col min="15364" max="15364" width="10.7109375" customWidth="1"/>
    <col min="15365" max="15365" width="11.140625" customWidth="1"/>
    <col min="15366" max="15366" width="6.28515625" customWidth="1"/>
    <col min="15367" max="15367" width="11.85546875" customWidth="1"/>
    <col min="15617" max="15617" width="11.28515625" customWidth="1"/>
    <col min="15618" max="15618" width="60.28515625" customWidth="1"/>
    <col min="15619" max="15619" width="11.28515625" customWidth="1"/>
    <col min="15620" max="15620" width="10.7109375" customWidth="1"/>
    <col min="15621" max="15621" width="11.140625" customWidth="1"/>
    <col min="15622" max="15622" width="6.28515625" customWidth="1"/>
    <col min="15623" max="15623" width="11.85546875" customWidth="1"/>
    <col min="15873" max="15873" width="11.28515625" customWidth="1"/>
    <col min="15874" max="15874" width="60.28515625" customWidth="1"/>
    <col min="15875" max="15875" width="11.28515625" customWidth="1"/>
    <col min="15876" max="15876" width="10.7109375" customWidth="1"/>
    <col min="15877" max="15877" width="11.140625" customWidth="1"/>
    <col min="15878" max="15878" width="6.28515625" customWidth="1"/>
    <col min="15879" max="15879" width="11.85546875" customWidth="1"/>
    <col min="16129" max="16129" width="11.28515625" customWidth="1"/>
    <col min="16130" max="16130" width="60.28515625" customWidth="1"/>
    <col min="16131" max="16131" width="11.28515625" customWidth="1"/>
    <col min="16132" max="16132" width="10.7109375" customWidth="1"/>
    <col min="16133" max="16133" width="11.140625" customWidth="1"/>
    <col min="16134" max="16134" width="6.28515625" customWidth="1"/>
    <col min="16135" max="16135" width="11.85546875" customWidth="1"/>
  </cols>
  <sheetData>
    <row r="1" spans="1:8" ht="18">
      <c r="A1" s="65"/>
      <c r="B1" s="66" t="s">
        <v>241</v>
      </c>
      <c r="C1" s="66" t="s">
        <v>487</v>
      </c>
      <c r="D1" s="67"/>
      <c r="E1" s="67"/>
      <c r="F1" s="67"/>
      <c r="G1" s="172"/>
      <c r="H1" s="172"/>
    </row>
    <row r="2" spans="1:8">
      <c r="A2" s="69"/>
      <c r="B2" s="172"/>
      <c r="C2" s="69"/>
      <c r="D2" s="69"/>
      <c r="E2" s="69"/>
      <c r="F2" s="69"/>
      <c r="G2" s="172"/>
      <c r="H2" s="172"/>
    </row>
    <row r="3" spans="1:8" ht="15.75">
      <c r="A3" s="70" t="s">
        <v>161</v>
      </c>
      <c r="B3" s="767" t="s">
        <v>743</v>
      </c>
      <c r="C3" s="72"/>
      <c r="D3" s="73" t="s">
        <v>185</v>
      </c>
      <c r="E3" s="72"/>
      <c r="F3" s="72"/>
      <c r="G3" s="172"/>
      <c r="H3" s="172"/>
    </row>
    <row r="4" spans="1:8">
      <c r="A4" s="69"/>
      <c r="B4" s="172"/>
      <c r="C4" s="69"/>
      <c r="D4" s="69"/>
      <c r="E4" s="69"/>
      <c r="F4" s="69"/>
      <c r="G4" s="172"/>
      <c r="H4" s="172"/>
    </row>
    <row r="5" spans="1:8" ht="12.75" customHeight="1">
      <c r="A5" s="1231" t="s">
        <v>189</v>
      </c>
      <c r="B5" s="758" t="s">
        <v>744</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758" t="s">
        <v>745</v>
      </c>
      <c r="C7" s="72"/>
      <c r="D7" s="72"/>
      <c r="E7" s="72"/>
      <c r="F7" s="72"/>
      <c r="G7" s="172"/>
      <c r="H7" s="172"/>
    </row>
    <row r="8" spans="1:8">
      <c r="A8" s="1231"/>
      <c r="B8" s="172"/>
      <c r="C8" s="72"/>
      <c r="D8" s="75" t="s">
        <v>188</v>
      </c>
      <c r="E8" s="69"/>
      <c r="F8" s="69"/>
      <c r="G8" s="172"/>
      <c r="H8" s="172"/>
    </row>
    <row r="9" spans="1:8" ht="15">
      <c r="A9" s="76" t="s">
        <v>190</v>
      </c>
      <c r="B9" s="759" t="s">
        <v>746</v>
      </c>
      <c r="C9" s="72"/>
      <c r="D9" s="69"/>
      <c r="E9" s="69"/>
      <c r="F9" s="69"/>
      <c r="G9" s="172"/>
      <c r="H9" s="172"/>
    </row>
    <row r="10" spans="1:8">
      <c r="A10" s="67"/>
      <c r="B10" s="172"/>
      <c r="C10" s="69"/>
      <c r="D10" s="77" t="s">
        <v>242</v>
      </c>
      <c r="E10" s="69"/>
      <c r="F10" s="78"/>
      <c r="G10" s="172"/>
      <c r="H10" s="172"/>
    </row>
    <row r="11" spans="1:8">
      <c r="A11" s="79" t="s">
        <v>162</v>
      </c>
      <c r="B11" s="758" t="s">
        <v>747</v>
      </c>
      <c r="C11" s="72"/>
      <c r="D11" s="69"/>
      <c r="E11" s="69"/>
      <c r="F11" s="69"/>
      <c r="G11" s="172"/>
      <c r="H11" s="172"/>
    </row>
    <row r="12" spans="1:8">
      <c r="A12" s="69"/>
      <c r="B12" s="172"/>
      <c r="C12" s="69"/>
      <c r="D12" s="67"/>
      <c r="E12" s="69"/>
      <c r="F12" s="69"/>
      <c r="G12" s="172"/>
      <c r="H12" s="172"/>
    </row>
    <row r="13" spans="1:8">
      <c r="A13" s="1232" t="s">
        <v>163</v>
      </c>
      <c r="B13" s="758" t="s">
        <v>748</v>
      </c>
      <c r="C13" s="72"/>
      <c r="D13" s="72"/>
      <c r="E13" s="69"/>
      <c r="F13" s="69"/>
      <c r="G13" s="172"/>
      <c r="H13" s="172"/>
    </row>
    <row r="14" spans="1:8">
      <c r="A14" s="1232"/>
      <c r="B14" s="172"/>
      <c r="C14" s="172"/>
      <c r="D14" s="172"/>
      <c r="E14" s="172"/>
      <c r="F14" s="172"/>
      <c r="G14" s="172"/>
      <c r="H14" s="172"/>
    </row>
    <row r="16" spans="1:8" ht="13.5" customHeight="1">
      <c r="A16" s="1316" t="s">
        <v>494</v>
      </c>
      <c r="B16" s="1317"/>
      <c r="C16" s="1317"/>
      <c r="D16" s="1317"/>
      <c r="E16" s="1317"/>
      <c r="F16" s="1317"/>
      <c r="G16" s="1318"/>
      <c r="H16" s="80"/>
    </row>
    <row r="17" spans="1:8">
      <c r="A17" s="572" t="s">
        <v>86</v>
      </c>
      <c r="B17" s="572" t="s">
        <v>8</v>
      </c>
      <c r="C17" s="572" t="s">
        <v>0</v>
      </c>
      <c r="D17" s="1334" t="s">
        <v>149</v>
      </c>
      <c r="E17" s="1335"/>
      <c r="F17" s="746"/>
      <c r="G17" s="82"/>
      <c r="H17" s="83"/>
    </row>
    <row r="18" spans="1:8">
      <c r="A18" s="572">
        <v>1</v>
      </c>
      <c r="B18" s="573" t="s">
        <v>1</v>
      </c>
      <c r="C18" s="574">
        <v>0</v>
      </c>
      <c r="D18" s="1220"/>
      <c r="E18" s="1221"/>
      <c r="F18" s="747"/>
      <c r="G18" s="85"/>
      <c r="H18" s="72"/>
    </row>
    <row r="19" spans="1:8" ht="25.5">
      <c r="A19" s="575" t="s">
        <v>111</v>
      </c>
      <c r="B19" s="614" t="s">
        <v>228</v>
      </c>
      <c r="C19" s="574">
        <v>21</v>
      </c>
      <c r="D19" s="1297"/>
      <c r="E19" s="1298"/>
      <c r="F19" s="747"/>
      <c r="G19" s="85"/>
      <c r="H19" s="72"/>
    </row>
    <row r="20" spans="1:8" ht="25.5">
      <c r="A20" s="575" t="s">
        <v>112</v>
      </c>
      <c r="B20" s="614" t="s">
        <v>229</v>
      </c>
      <c r="C20" s="574">
        <v>39</v>
      </c>
      <c r="D20" s="1297"/>
      <c r="E20" s="1298"/>
      <c r="F20" s="747"/>
      <c r="G20" s="85"/>
      <c r="H20" s="72"/>
    </row>
    <row r="21" spans="1:8" ht="25.5">
      <c r="A21" s="575" t="s">
        <v>113</v>
      </c>
      <c r="B21" s="87" t="s">
        <v>230</v>
      </c>
      <c r="C21" s="574">
        <v>2</v>
      </c>
      <c r="D21" s="1336" t="s">
        <v>749</v>
      </c>
      <c r="E21" s="1337"/>
      <c r="F21" s="747"/>
      <c r="G21" s="85"/>
      <c r="H21" s="72"/>
    </row>
    <row r="22" spans="1:8" ht="25.5">
      <c r="A22" s="575" t="s">
        <v>114</v>
      </c>
      <c r="B22" s="87" t="s">
        <v>231</v>
      </c>
      <c r="C22" s="577">
        <v>2</v>
      </c>
      <c r="D22" s="1297"/>
      <c r="E22" s="1298"/>
      <c r="F22" s="747"/>
      <c r="G22" s="85"/>
      <c r="H22" s="72"/>
    </row>
    <row r="23" spans="1:8">
      <c r="A23" s="1313"/>
      <c r="B23" s="1314"/>
      <c r="C23" s="1314"/>
      <c r="D23" s="1314"/>
      <c r="E23" s="1314"/>
      <c r="F23" s="1314"/>
      <c r="G23" s="1315"/>
      <c r="H23" s="80"/>
    </row>
    <row r="24" spans="1:8" ht="13.5" customHeight="1">
      <c r="A24" s="1316" t="s">
        <v>498</v>
      </c>
      <c r="B24" s="1317"/>
      <c r="C24" s="1317"/>
      <c r="D24" s="1317"/>
      <c r="E24" s="1317"/>
      <c r="F24" s="1317"/>
      <c r="G24" s="1318"/>
      <c r="H24" s="80"/>
    </row>
    <row r="25" spans="1:8">
      <c r="A25" s="572" t="s">
        <v>86</v>
      </c>
      <c r="B25" s="572" t="s">
        <v>8</v>
      </c>
      <c r="C25" s="572" t="s">
        <v>2</v>
      </c>
      <c r="D25" s="1334" t="s">
        <v>149</v>
      </c>
      <c r="E25" s="1335"/>
      <c r="F25" s="746"/>
      <c r="G25" s="82"/>
      <c r="H25" s="83"/>
    </row>
    <row r="26" spans="1:8">
      <c r="A26" s="572">
        <v>2</v>
      </c>
      <c r="B26" s="573" t="s">
        <v>243</v>
      </c>
      <c r="C26" s="586">
        <f>SUM(C27:C30)</f>
        <v>17.899999999999999</v>
      </c>
      <c r="D26" s="1220"/>
      <c r="E26" s="1221"/>
      <c r="F26" s="747"/>
      <c r="G26" s="85"/>
      <c r="H26" s="72"/>
    </row>
    <row r="27" spans="1:8">
      <c r="A27" s="574" t="s">
        <v>3</v>
      </c>
      <c r="B27" s="576" t="s">
        <v>4</v>
      </c>
      <c r="C27" s="578">
        <v>14.9</v>
      </c>
      <c r="D27" s="1220"/>
      <c r="E27" s="1221"/>
      <c r="F27" s="747"/>
      <c r="G27" s="85"/>
      <c r="H27" s="72"/>
    </row>
    <row r="28" spans="1:8">
      <c r="A28" s="575" t="s">
        <v>5</v>
      </c>
      <c r="B28" s="576" t="s">
        <v>144</v>
      </c>
      <c r="C28" s="578">
        <v>2</v>
      </c>
      <c r="D28" s="1220"/>
      <c r="E28" s="1221"/>
      <c r="F28" s="747"/>
      <c r="G28" s="85"/>
      <c r="H28" s="72"/>
    </row>
    <row r="29" spans="1:8">
      <c r="A29" s="574" t="s">
        <v>145</v>
      </c>
      <c r="B29" s="576" t="s">
        <v>146</v>
      </c>
      <c r="C29" s="578">
        <v>1</v>
      </c>
      <c r="D29" s="1220"/>
      <c r="E29" s="1221"/>
      <c r="F29" s="755"/>
      <c r="G29" s="85"/>
      <c r="H29" s="72"/>
    </row>
    <row r="30" spans="1:8">
      <c r="A30" s="574" t="s">
        <v>244</v>
      </c>
      <c r="B30" s="576" t="s">
        <v>245</v>
      </c>
      <c r="C30" s="578">
        <v>0</v>
      </c>
      <c r="D30" s="749"/>
      <c r="E30" s="755"/>
      <c r="F30" s="755"/>
      <c r="G30" s="85"/>
      <c r="H30" s="72"/>
    </row>
    <row r="31" spans="1:8">
      <c r="A31" s="572">
        <v>3</v>
      </c>
      <c r="B31" s="573" t="s">
        <v>14</v>
      </c>
      <c r="C31" s="586">
        <f>SUM(C32:C34)</f>
        <v>21.8</v>
      </c>
      <c r="D31" s="1220"/>
      <c r="E31" s="1221"/>
      <c r="F31" s="747"/>
      <c r="G31" s="85"/>
      <c r="H31" s="72"/>
    </row>
    <row r="32" spans="1:8">
      <c r="A32" s="574" t="s">
        <v>6</v>
      </c>
      <c r="B32" s="576" t="s">
        <v>7</v>
      </c>
      <c r="C32" s="578">
        <v>14.5</v>
      </c>
      <c r="D32" s="1220"/>
      <c r="E32" s="1221"/>
      <c r="F32" s="747"/>
      <c r="G32" s="85"/>
      <c r="H32" s="72"/>
    </row>
    <row r="33" spans="1:8">
      <c r="A33" s="575" t="s">
        <v>12</v>
      </c>
      <c r="B33" s="576" t="s">
        <v>15</v>
      </c>
      <c r="C33" s="578">
        <v>6.3</v>
      </c>
      <c r="D33" s="1220"/>
      <c r="E33" s="1221"/>
      <c r="F33" s="747"/>
      <c r="G33" s="85"/>
      <c r="H33" s="72"/>
    </row>
    <row r="34" spans="1:8">
      <c r="A34" s="575" t="s">
        <v>13</v>
      </c>
      <c r="B34" s="576" t="s">
        <v>148</v>
      </c>
      <c r="C34" s="578">
        <v>1</v>
      </c>
      <c r="D34" s="1220"/>
      <c r="E34" s="1221"/>
      <c r="F34" s="747"/>
      <c r="G34" s="85"/>
      <c r="H34" s="72"/>
    </row>
    <row r="35" spans="1:8">
      <c r="A35" s="572">
        <v>4</v>
      </c>
      <c r="B35" s="579" t="s">
        <v>17</v>
      </c>
      <c r="C35" s="578">
        <v>0</v>
      </c>
      <c r="D35" s="1220"/>
      <c r="E35" s="1221"/>
      <c r="F35" s="747"/>
      <c r="G35" s="85"/>
      <c r="H35" s="72"/>
    </row>
    <row r="36" spans="1:8">
      <c r="A36" s="575" t="s">
        <v>16</v>
      </c>
      <c r="B36" s="576" t="s">
        <v>84</v>
      </c>
      <c r="C36" s="578">
        <v>0</v>
      </c>
      <c r="D36" s="1220"/>
      <c r="E36" s="1221"/>
      <c r="F36" s="747"/>
      <c r="G36" s="85"/>
      <c r="H36" s="72"/>
    </row>
    <row r="37" spans="1:8" ht="25.5">
      <c r="A37" s="572">
        <v>5</v>
      </c>
      <c r="B37" s="618" t="s">
        <v>26</v>
      </c>
      <c r="C37" s="578">
        <v>24.13</v>
      </c>
      <c r="D37" s="1220"/>
      <c r="E37" s="1221"/>
      <c r="F37" s="747"/>
      <c r="G37" s="85"/>
      <c r="H37" s="72"/>
    </row>
    <row r="38" spans="1:8">
      <c r="A38" s="580" t="s">
        <v>147</v>
      </c>
      <c r="B38" s="579" t="s">
        <v>150</v>
      </c>
      <c r="C38" s="578">
        <v>0</v>
      </c>
      <c r="D38" s="1334"/>
      <c r="E38" s="1335"/>
      <c r="F38" s="746"/>
      <c r="G38" s="85"/>
      <c r="H38" s="72"/>
    </row>
    <row r="39" spans="1:8">
      <c r="A39" s="572">
        <v>6</v>
      </c>
      <c r="B39" s="573" t="s">
        <v>85</v>
      </c>
      <c r="C39" s="586">
        <f>C26+C31+C37</f>
        <v>63.83</v>
      </c>
      <c r="D39" s="1220"/>
      <c r="E39" s="1221"/>
      <c r="F39" s="747"/>
      <c r="G39" s="85"/>
      <c r="H39" s="72"/>
    </row>
    <row r="40" spans="1:8">
      <c r="A40" s="1313"/>
      <c r="B40" s="1314"/>
      <c r="C40" s="1314"/>
      <c r="D40" s="1314"/>
      <c r="E40" s="1314"/>
      <c r="F40" s="1314"/>
      <c r="G40" s="1315"/>
      <c r="H40" s="80"/>
    </row>
    <row r="41" spans="1:8" ht="15.75" customHeight="1">
      <c r="A41" s="1316" t="s">
        <v>361</v>
      </c>
      <c r="B41" s="1317"/>
      <c r="C41" s="1317"/>
      <c r="D41" s="1317"/>
      <c r="E41" s="1317"/>
      <c r="F41" s="1317"/>
      <c r="G41" s="1318"/>
      <c r="H41" s="91"/>
    </row>
    <row r="42" spans="1:8">
      <c r="A42" s="572" t="s">
        <v>86</v>
      </c>
      <c r="B42" s="572" t="s">
        <v>8</v>
      </c>
      <c r="C42" s="572" t="s">
        <v>9</v>
      </c>
      <c r="D42" s="1334" t="s">
        <v>149</v>
      </c>
      <c r="E42" s="1335"/>
      <c r="F42" s="746"/>
      <c r="G42" s="82"/>
      <c r="H42" s="83"/>
    </row>
    <row r="43" spans="1:8">
      <c r="A43" s="572"/>
      <c r="B43" s="92" t="s">
        <v>10</v>
      </c>
      <c r="C43" s="1220"/>
      <c r="D43" s="1224"/>
      <c r="E43" s="1221"/>
      <c r="F43" s="747"/>
      <c r="G43" s="85"/>
      <c r="H43" s="72"/>
    </row>
    <row r="44" spans="1:8">
      <c r="A44" s="572">
        <v>7</v>
      </c>
      <c r="B44" s="573" t="s">
        <v>246</v>
      </c>
      <c r="C44" s="591">
        <f>SUM(C45:C47)</f>
        <v>1550261</v>
      </c>
      <c r="D44" s="1220"/>
      <c r="E44" s="1221"/>
      <c r="F44" s="747"/>
      <c r="G44" s="85"/>
      <c r="H44" s="72"/>
    </row>
    <row r="45" spans="1:8">
      <c r="A45" s="574" t="s">
        <v>11</v>
      </c>
      <c r="B45" s="576" t="s">
        <v>19</v>
      </c>
      <c r="C45" s="591">
        <v>1208744</v>
      </c>
      <c r="D45" s="1220"/>
      <c r="E45" s="1221"/>
      <c r="F45" s="747"/>
      <c r="G45" s="85"/>
      <c r="H45" s="72"/>
    </row>
    <row r="46" spans="1:8">
      <c r="A46" s="575" t="s">
        <v>18</v>
      </c>
      <c r="B46" s="576" t="s">
        <v>151</v>
      </c>
      <c r="C46" s="591">
        <v>341517</v>
      </c>
      <c r="D46" s="1220"/>
      <c r="E46" s="1221"/>
      <c r="F46" s="747"/>
      <c r="G46" s="85"/>
      <c r="H46" s="72"/>
    </row>
    <row r="47" spans="1:8">
      <c r="A47" s="574" t="s">
        <v>247</v>
      </c>
      <c r="B47" s="576" t="s">
        <v>248</v>
      </c>
      <c r="C47" s="591">
        <v>0</v>
      </c>
      <c r="D47" s="747"/>
      <c r="E47" s="747"/>
      <c r="F47" s="747"/>
      <c r="G47" s="85"/>
      <c r="H47" s="72"/>
    </row>
    <row r="48" spans="1:8">
      <c r="A48" s="572">
        <v>8</v>
      </c>
      <c r="B48" s="573" t="s">
        <v>109</v>
      </c>
      <c r="C48" s="591">
        <f>SUM(C49:C51)</f>
        <v>890654</v>
      </c>
      <c r="D48" s="1220"/>
      <c r="E48" s="1221"/>
      <c r="F48" s="747"/>
      <c r="G48" s="85"/>
      <c r="H48" s="72"/>
    </row>
    <row r="49" spans="1:8">
      <c r="A49" s="581" t="s">
        <v>20</v>
      </c>
      <c r="B49" s="582" t="s">
        <v>23</v>
      </c>
      <c r="C49" s="591">
        <v>562349</v>
      </c>
      <c r="D49" s="1220"/>
      <c r="E49" s="1221"/>
      <c r="F49" s="747"/>
      <c r="G49" s="85"/>
      <c r="H49" s="72"/>
    </row>
    <row r="50" spans="1:8">
      <c r="A50" s="575" t="s">
        <v>21</v>
      </c>
      <c r="B50" s="576" t="s">
        <v>24</v>
      </c>
      <c r="C50" s="591">
        <v>250305</v>
      </c>
      <c r="D50" s="1220"/>
      <c r="E50" s="1221"/>
      <c r="F50" s="747"/>
      <c r="G50" s="85"/>
      <c r="H50" s="72"/>
    </row>
    <row r="51" spans="1:8">
      <c r="A51" s="575" t="s">
        <v>22</v>
      </c>
      <c r="B51" s="576" t="s">
        <v>25</v>
      </c>
      <c r="C51" s="591">
        <v>78000</v>
      </c>
      <c r="D51" s="1220"/>
      <c r="E51" s="1221"/>
      <c r="F51" s="747"/>
      <c r="G51" s="85"/>
      <c r="H51" s="72"/>
    </row>
    <row r="52" spans="1:8" ht="25.5">
      <c r="A52" s="583">
        <v>9</v>
      </c>
      <c r="B52" s="584" t="s">
        <v>27</v>
      </c>
      <c r="C52" s="591">
        <v>209195</v>
      </c>
      <c r="D52" s="1220"/>
      <c r="E52" s="1221"/>
      <c r="F52" s="747"/>
      <c r="G52" s="85"/>
      <c r="H52" s="72"/>
    </row>
    <row r="53" spans="1:8">
      <c r="A53" s="583">
        <v>10</v>
      </c>
      <c r="B53" s="584" t="s">
        <v>249</v>
      </c>
      <c r="C53" s="591">
        <f>SUM(C44+C48+C52)</f>
        <v>2650110</v>
      </c>
      <c r="D53" s="749"/>
      <c r="E53" s="748"/>
      <c r="F53" s="748"/>
      <c r="G53" s="85"/>
      <c r="H53" s="72"/>
    </row>
    <row r="54" spans="1:8">
      <c r="A54" s="583"/>
      <c r="B54" s="584"/>
      <c r="C54" s="587"/>
      <c r="D54" s="1220"/>
      <c r="E54" s="1221"/>
      <c r="F54" s="748"/>
      <c r="G54" s="85"/>
      <c r="H54" s="72"/>
    </row>
    <row r="55" spans="1:8">
      <c r="A55" s="95"/>
      <c r="B55" s="92" t="s">
        <v>250</v>
      </c>
      <c r="C55" s="96"/>
      <c r="D55" s="1334"/>
      <c r="E55" s="1335"/>
      <c r="F55" s="747"/>
      <c r="G55" s="85"/>
      <c r="H55" s="72"/>
    </row>
    <row r="56" spans="1:8" ht="25.5">
      <c r="A56" s="97">
        <v>11</v>
      </c>
      <c r="B56" s="98" t="s">
        <v>251</v>
      </c>
      <c r="C56" s="627">
        <f>SUM(C57:C59)</f>
        <v>102881.57</v>
      </c>
      <c r="D56" s="1220"/>
      <c r="E56" s="1221"/>
      <c r="F56" s="747"/>
      <c r="G56" s="85"/>
      <c r="H56" s="72"/>
    </row>
    <row r="57" spans="1:8">
      <c r="A57" s="100" t="s">
        <v>30</v>
      </c>
      <c r="B57" s="101" t="s">
        <v>28</v>
      </c>
      <c r="C57" s="587">
        <f>44938.41+1008.48+56934.68</f>
        <v>102881.57</v>
      </c>
      <c r="D57" s="1220"/>
      <c r="E57" s="1221"/>
      <c r="F57" s="747"/>
      <c r="G57" s="85"/>
      <c r="H57" s="72"/>
    </row>
    <row r="58" spans="1:8">
      <c r="A58" s="100" t="s">
        <v>32</v>
      </c>
      <c r="B58" s="101" t="s">
        <v>152</v>
      </c>
      <c r="C58" s="587"/>
      <c r="D58" s="1220"/>
      <c r="E58" s="1221"/>
      <c r="F58" s="747"/>
      <c r="G58" s="85"/>
      <c r="H58" s="72"/>
    </row>
    <row r="59" spans="1:8">
      <c r="A59" s="100" t="s">
        <v>34</v>
      </c>
      <c r="B59" s="101" t="s">
        <v>29</v>
      </c>
      <c r="C59" s="587"/>
      <c r="D59" s="1220"/>
      <c r="E59" s="1221"/>
      <c r="F59" s="747"/>
      <c r="G59" s="85"/>
      <c r="H59" s="72"/>
    </row>
    <row r="60" spans="1:8" ht="38.25">
      <c r="A60" s="97">
        <v>12</v>
      </c>
      <c r="B60" s="98" t="s">
        <v>252</v>
      </c>
      <c r="C60" s="589">
        <f>SUM(C61+C62+C64)</f>
        <v>860081.59</v>
      </c>
      <c r="D60" s="1220"/>
      <c r="E60" s="1221"/>
      <c r="F60" s="747"/>
      <c r="G60" s="85"/>
      <c r="H60" s="72"/>
    </row>
    <row r="61" spans="1:8">
      <c r="A61" s="100" t="s">
        <v>36</v>
      </c>
      <c r="B61" s="101" t="s">
        <v>31</v>
      </c>
      <c r="C61" s="587">
        <f>10293.39+99805.77</f>
        <v>110099.16</v>
      </c>
      <c r="D61" s="1220"/>
      <c r="E61" s="1221"/>
      <c r="F61" s="747"/>
      <c r="G61" s="85"/>
      <c r="H61" s="72"/>
    </row>
    <row r="62" spans="1:8">
      <c r="A62" s="100" t="s">
        <v>38</v>
      </c>
      <c r="B62" s="101" t="s">
        <v>206</v>
      </c>
      <c r="C62" s="587">
        <f>321106.1+126964+349386-47473.67</f>
        <v>749982.42999999993</v>
      </c>
      <c r="D62" s="1220"/>
      <c r="E62" s="1221"/>
      <c r="F62" s="747"/>
      <c r="G62" s="85"/>
      <c r="H62" s="72"/>
    </row>
    <row r="63" spans="1:8">
      <c r="A63" s="100" t="s">
        <v>253</v>
      </c>
      <c r="B63" s="101" t="s">
        <v>33</v>
      </c>
      <c r="C63" s="587"/>
      <c r="D63" s="1220"/>
      <c r="E63" s="1221"/>
      <c r="F63" s="747"/>
      <c r="G63" s="85"/>
      <c r="H63" s="72"/>
    </row>
    <row r="64" spans="1:8">
      <c r="A64" s="100" t="s">
        <v>39</v>
      </c>
      <c r="B64" s="101" t="s">
        <v>35</v>
      </c>
      <c r="C64" s="587"/>
      <c r="D64" s="1220"/>
      <c r="E64" s="1221"/>
      <c r="F64" s="747"/>
      <c r="G64" s="85"/>
      <c r="H64" s="72"/>
    </row>
    <row r="65" spans="1:8">
      <c r="A65" s="102" t="s">
        <v>254</v>
      </c>
      <c r="B65" s="101" t="s">
        <v>153</v>
      </c>
      <c r="C65" s="587"/>
      <c r="D65" s="1220"/>
      <c r="E65" s="1221"/>
      <c r="F65" s="747"/>
      <c r="G65" s="85"/>
      <c r="H65" s="72"/>
    </row>
    <row r="66" spans="1:8">
      <c r="A66" s="102" t="s">
        <v>255</v>
      </c>
      <c r="B66" s="103" t="s">
        <v>216</v>
      </c>
      <c r="C66" s="587"/>
      <c r="D66" s="1220"/>
      <c r="E66" s="1221"/>
      <c r="F66" s="747"/>
      <c r="G66" s="85"/>
      <c r="H66" s="72"/>
    </row>
    <row r="67" spans="1:8">
      <c r="A67" s="97">
        <v>13</v>
      </c>
      <c r="B67" s="104" t="s">
        <v>256</v>
      </c>
      <c r="C67" s="589">
        <f>SUM(C68:C69)</f>
        <v>0</v>
      </c>
      <c r="D67" s="1220"/>
      <c r="E67" s="1221"/>
      <c r="F67" s="747"/>
      <c r="G67" s="85"/>
      <c r="H67" s="72"/>
    </row>
    <row r="68" spans="1:8">
      <c r="A68" s="100" t="s">
        <v>156</v>
      </c>
      <c r="B68" s="103" t="s">
        <v>40</v>
      </c>
      <c r="C68" s="587"/>
      <c r="D68" s="1220"/>
      <c r="E68" s="1221"/>
      <c r="F68" s="747"/>
      <c r="G68" s="85"/>
      <c r="H68" s="72"/>
    </row>
    <row r="69" spans="1:8">
      <c r="A69" s="100" t="s">
        <v>157</v>
      </c>
      <c r="B69" s="103" t="s">
        <v>41</v>
      </c>
      <c r="C69" s="587"/>
      <c r="D69" s="1220"/>
      <c r="E69" s="1221"/>
      <c r="F69" s="747"/>
      <c r="G69" s="85"/>
      <c r="H69" s="72"/>
    </row>
    <row r="70" spans="1:8">
      <c r="A70" s="95">
        <v>14</v>
      </c>
      <c r="B70" s="82" t="s">
        <v>257</v>
      </c>
      <c r="C70" s="589">
        <f>SUM(C71:C75)</f>
        <v>0</v>
      </c>
      <c r="D70" s="1220"/>
      <c r="E70" s="1221"/>
      <c r="F70" s="747"/>
      <c r="G70" s="85"/>
      <c r="H70" s="72"/>
    </row>
    <row r="71" spans="1:8">
      <c r="A71" s="105" t="s">
        <v>42</v>
      </c>
      <c r="B71" s="106" t="s">
        <v>155</v>
      </c>
      <c r="C71" s="587"/>
      <c r="D71" s="1334"/>
      <c r="E71" s="1335"/>
      <c r="F71" s="746"/>
      <c r="G71" s="85"/>
      <c r="H71" s="72"/>
    </row>
    <row r="72" spans="1:8">
      <c r="A72" s="105" t="s">
        <v>43</v>
      </c>
      <c r="B72" s="107" t="s">
        <v>258</v>
      </c>
      <c r="C72" s="587"/>
      <c r="D72" s="747"/>
      <c r="E72" s="746"/>
      <c r="F72" s="746"/>
      <c r="G72" s="85"/>
      <c r="H72" s="72"/>
    </row>
    <row r="73" spans="1:8">
      <c r="A73" s="105" t="s">
        <v>45</v>
      </c>
      <c r="B73" s="108" t="s">
        <v>44</v>
      </c>
      <c r="C73" s="587"/>
      <c r="D73" s="1220"/>
      <c r="E73" s="1221"/>
      <c r="F73" s="747"/>
      <c r="G73" s="85"/>
      <c r="H73" s="72"/>
    </row>
    <row r="74" spans="1:8">
      <c r="A74" s="105" t="s">
        <v>154</v>
      </c>
      <c r="B74" s="108" t="s">
        <v>46</v>
      </c>
      <c r="C74" s="587"/>
      <c r="D74" s="1220"/>
      <c r="E74" s="1221"/>
      <c r="F74" s="747"/>
      <c r="G74" s="85"/>
      <c r="H74" s="72"/>
    </row>
    <row r="75" spans="1:8">
      <c r="A75" s="109" t="s">
        <v>259</v>
      </c>
      <c r="B75" s="108" t="s">
        <v>104</v>
      </c>
      <c r="C75" s="587"/>
      <c r="D75" s="1220"/>
      <c r="E75" s="1221"/>
      <c r="F75" s="747"/>
      <c r="G75" s="85"/>
      <c r="H75" s="72"/>
    </row>
    <row r="76" spans="1:8">
      <c r="A76" s="110">
        <v>15</v>
      </c>
      <c r="B76" s="82" t="s">
        <v>260</v>
      </c>
      <c r="C76" s="590">
        <f>C56+C60+C67+C70</f>
        <v>962963.15999999992</v>
      </c>
      <c r="D76" s="747"/>
      <c r="E76" s="747"/>
      <c r="F76" s="747"/>
      <c r="G76" s="85"/>
      <c r="H76" s="72"/>
    </row>
    <row r="77" spans="1:8">
      <c r="A77" s="109"/>
      <c r="B77" s="82"/>
      <c r="C77" s="590"/>
      <c r="D77" s="747"/>
      <c r="E77" s="747"/>
      <c r="F77" s="747"/>
      <c r="G77" s="85"/>
      <c r="H77" s="72"/>
    </row>
    <row r="78" spans="1:8">
      <c r="A78" s="109"/>
      <c r="B78" s="111" t="s">
        <v>261</v>
      </c>
      <c r="C78" s="587"/>
      <c r="D78" s="1220"/>
      <c r="E78" s="1221"/>
      <c r="F78" s="747"/>
      <c r="G78" s="85"/>
      <c r="H78" s="72"/>
    </row>
    <row r="79" spans="1:8">
      <c r="A79" s="109"/>
      <c r="C79" s="587"/>
      <c r="D79" s="747"/>
      <c r="E79" s="747"/>
      <c r="F79" s="747"/>
      <c r="G79" s="85"/>
      <c r="H79" s="72"/>
    </row>
    <row r="80" spans="1:8">
      <c r="A80" s="95">
        <v>16</v>
      </c>
      <c r="B80" s="112" t="s">
        <v>262</v>
      </c>
      <c r="C80" s="591">
        <f>SUM(C81:C85)</f>
        <v>37636.509999999995</v>
      </c>
      <c r="D80" s="747"/>
      <c r="E80" s="747"/>
      <c r="F80" s="747"/>
      <c r="G80" s="85"/>
      <c r="H80" s="72"/>
    </row>
    <row r="81" spans="1:8">
      <c r="A81" s="109" t="s">
        <v>263</v>
      </c>
      <c r="B81" s="85" t="s">
        <v>264</v>
      </c>
      <c r="C81" s="587">
        <v>0</v>
      </c>
      <c r="D81" s="85"/>
      <c r="E81" s="747"/>
      <c r="F81" s="747"/>
      <c r="H81" s="72"/>
    </row>
    <row r="82" spans="1:8" ht="25.5">
      <c r="A82" s="109" t="s">
        <v>192</v>
      </c>
      <c r="B82" s="113" t="s">
        <v>207</v>
      </c>
      <c r="C82" s="587">
        <v>19800</v>
      </c>
      <c r="D82" s="747"/>
      <c r="E82" s="747"/>
      <c r="F82" s="747"/>
      <c r="G82" s="85"/>
      <c r="H82" s="72"/>
    </row>
    <row r="83" spans="1:8">
      <c r="A83" s="109" t="s">
        <v>193</v>
      </c>
      <c r="B83" s="85" t="s">
        <v>158</v>
      </c>
      <c r="C83" s="760">
        <v>336.51</v>
      </c>
      <c r="D83" s="747"/>
      <c r="E83" s="747"/>
      <c r="F83" s="747"/>
      <c r="G83" s="85"/>
      <c r="H83" s="72"/>
    </row>
    <row r="84" spans="1:8">
      <c r="A84" s="109" t="s">
        <v>265</v>
      </c>
      <c r="B84" s="85" t="s">
        <v>159</v>
      </c>
      <c r="C84" s="587">
        <v>2500</v>
      </c>
      <c r="D84" s="747"/>
      <c r="E84" s="747"/>
      <c r="F84" s="747"/>
      <c r="G84" s="85"/>
      <c r="H84" s="72"/>
    </row>
    <row r="85" spans="1:8">
      <c r="A85" s="109" t="s">
        <v>266</v>
      </c>
      <c r="B85" s="85" t="s">
        <v>160</v>
      </c>
      <c r="C85" s="587">
        <v>15000</v>
      </c>
      <c r="D85" s="747"/>
      <c r="E85" s="747"/>
      <c r="F85" s="747"/>
      <c r="G85" s="85"/>
      <c r="H85" s="72"/>
    </row>
    <row r="86" spans="1:8">
      <c r="A86" s="110">
        <v>17</v>
      </c>
      <c r="B86" s="111" t="s">
        <v>191</v>
      </c>
      <c r="C86" s="591"/>
      <c r="D86" s="1220"/>
      <c r="E86" s="1221"/>
      <c r="F86" s="747"/>
      <c r="G86" s="82"/>
      <c r="H86" s="83"/>
    </row>
    <row r="87" spans="1:8">
      <c r="A87" s="110">
        <v>18</v>
      </c>
      <c r="B87" s="82" t="s">
        <v>267</v>
      </c>
      <c r="C87" s="589">
        <f>SUM(C88:C90)</f>
        <v>1025</v>
      </c>
      <c r="D87" s="1220"/>
      <c r="E87" s="1221"/>
      <c r="F87" s="747"/>
      <c r="G87" s="85"/>
      <c r="H87" s="72"/>
    </row>
    <row r="88" spans="1:8">
      <c r="A88" s="105" t="s">
        <v>268</v>
      </c>
      <c r="B88" s="114" t="s">
        <v>47</v>
      </c>
      <c r="C88" s="587">
        <v>1025</v>
      </c>
      <c r="D88" s="1220"/>
      <c r="E88" s="1221"/>
      <c r="F88" s="747"/>
      <c r="G88" s="85"/>
      <c r="H88" s="72"/>
    </row>
    <row r="89" spans="1:8">
      <c r="A89" s="105" t="s">
        <v>269</v>
      </c>
      <c r="B89" s="114" t="s">
        <v>48</v>
      </c>
      <c r="C89" s="587">
        <v>0</v>
      </c>
      <c r="D89" s="1220"/>
      <c r="E89" s="1221"/>
      <c r="F89" s="747"/>
      <c r="G89" s="85"/>
      <c r="H89" s="72"/>
    </row>
    <row r="90" spans="1:8">
      <c r="A90" s="105" t="s">
        <v>270</v>
      </c>
      <c r="B90" s="114" t="s">
        <v>105</v>
      </c>
      <c r="C90" s="96">
        <v>0</v>
      </c>
      <c r="D90" s="1220"/>
      <c r="E90" s="1221"/>
      <c r="F90" s="747"/>
      <c r="G90" s="85"/>
      <c r="H90" s="72"/>
    </row>
    <row r="91" spans="1:8">
      <c r="A91" s="110">
        <v>19</v>
      </c>
      <c r="B91" s="85" t="s">
        <v>205</v>
      </c>
      <c r="C91" s="96">
        <v>8624.9699999999993</v>
      </c>
      <c r="D91" s="1220"/>
      <c r="E91" s="1221"/>
      <c r="F91" s="747"/>
      <c r="G91" s="85"/>
      <c r="H91" s="72"/>
    </row>
    <row r="92" spans="1:8" ht="38.25">
      <c r="A92" s="110">
        <v>20</v>
      </c>
      <c r="B92" s="113" t="s">
        <v>106</v>
      </c>
      <c r="C92" s="96"/>
      <c r="D92" s="1220"/>
      <c r="E92" s="1221"/>
      <c r="F92" s="747"/>
      <c r="G92" s="85"/>
      <c r="H92" s="72"/>
    </row>
    <row r="93" spans="1:8">
      <c r="A93" s="110">
        <v>21</v>
      </c>
      <c r="B93" s="85" t="s">
        <v>103</v>
      </c>
      <c r="C93" s="96">
        <v>88066</v>
      </c>
      <c r="D93" s="1220"/>
      <c r="E93" s="1221"/>
      <c r="F93" s="747"/>
      <c r="G93" s="85"/>
      <c r="H93" s="72"/>
    </row>
    <row r="94" spans="1:8" ht="25.5">
      <c r="A94" s="110">
        <v>22</v>
      </c>
      <c r="B94" s="113" t="s">
        <v>107</v>
      </c>
      <c r="C94" s="115">
        <v>0</v>
      </c>
      <c r="D94" s="1220"/>
      <c r="E94" s="1221"/>
      <c r="F94" s="116"/>
      <c r="G94" s="117"/>
      <c r="H94" s="80"/>
    </row>
    <row r="95" spans="1:8" ht="25.5">
      <c r="A95" s="110">
        <v>23</v>
      </c>
      <c r="B95" s="113" t="s">
        <v>271</v>
      </c>
      <c r="C95" s="118">
        <f>SUM(C53,C76,C80,C86,C87,C91,C92,C93,C94)</f>
        <v>3748425.64</v>
      </c>
      <c r="D95" s="1220"/>
      <c r="E95" s="1221"/>
      <c r="F95" s="747"/>
      <c r="G95" s="85"/>
      <c r="H95" s="72"/>
    </row>
    <row r="96" spans="1:8">
      <c r="A96" s="109" t="s">
        <v>108</v>
      </c>
      <c r="B96" s="114" t="s">
        <v>49</v>
      </c>
      <c r="C96" s="96">
        <v>951592</v>
      </c>
      <c r="D96" s="1220"/>
      <c r="E96" s="1221"/>
      <c r="F96" s="747"/>
      <c r="G96" s="85"/>
      <c r="H96" s="72"/>
    </row>
    <row r="97" spans="1:8" ht="14.25">
      <c r="A97" s="110">
        <v>24</v>
      </c>
      <c r="B97" s="85" t="s">
        <v>272</v>
      </c>
      <c r="C97" s="761">
        <f>SUM(C95,C96)</f>
        <v>4700017.6400000006</v>
      </c>
      <c r="D97" s="1220"/>
      <c r="E97" s="1221"/>
      <c r="F97" s="747"/>
      <c r="G97" s="85"/>
      <c r="H97" s="72"/>
    </row>
    <row r="99" spans="1:8" ht="15.75" customHeight="1">
      <c r="A99" s="1199" t="s">
        <v>362</v>
      </c>
      <c r="B99" s="1299"/>
      <c r="C99" s="1299"/>
      <c r="D99" s="1299"/>
      <c r="E99" s="1299"/>
      <c r="F99" s="1299"/>
      <c r="G99" s="1300"/>
      <c r="H99" s="120"/>
    </row>
    <row r="100" spans="1:8">
      <c r="A100" s="30" t="s">
        <v>86</v>
      </c>
      <c r="B100" s="30" t="s">
        <v>8</v>
      </c>
      <c r="C100" s="32" t="s">
        <v>50</v>
      </c>
      <c r="D100" s="32" t="s">
        <v>51</v>
      </c>
      <c r="E100" s="32" t="s">
        <v>52</v>
      </c>
      <c r="F100" s="32"/>
      <c r="G100" s="121" t="s">
        <v>149</v>
      </c>
      <c r="H100" s="122"/>
    </row>
    <row r="101" spans="1:8" ht="12.75" customHeight="1">
      <c r="A101" s="1206"/>
      <c r="B101" s="1301" t="s">
        <v>273</v>
      </c>
      <c r="C101" s="1303"/>
      <c r="D101" s="1304"/>
      <c r="E101" s="1305"/>
      <c r="F101" s="752"/>
      <c r="G101" s="1211"/>
      <c r="H101" s="124"/>
    </row>
    <row r="102" spans="1:8" ht="23.25" customHeight="1">
      <c r="A102" s="1207"/>
      <c r="B102" s="1302"/>
      <c r="C102" s="1306"/>
      <c r="D102" s="1307"/>
      <c r="E102" s="1308"/>
      <c r="F102" s="753"/>
      <c r="G102" s="1212"/>
      <c r="H102" s="124"/>
    </row>
    <row r="103" spans="1:8">
      <c r="A103" s="30">
        <v>25</v>
      </c>
      <c r="B103" s="757" t="s">
        <v>274</v>
      </c>
      <c r="C103" s="51">
        <f>SUM(C104,C107:C110)</f>
        <v>1591</v>
      </c>
      <c r="D103" s="51">
        <f>SUM(D104,D107:D110)</f>
        <v>0</v>
      </c>
      <c r="E103" s="34">
        <v>1108503</v>
      </c>
      <c r="F103" s="34"/>
      <c r="G103" s="10"/>
      <c r="H103" s="3"/>
    </row>
    <row r="104" spans="1:8">
      <c r="A104" s="25" t="s">
        <v>91</v>
      </c>
      <c r="B104" s="13" t="s">
        <v>53</v>
      </c>
      <c r="C104" s="51"/>
      <c r="D104" s="51"/>
      <c r="E104" s="34"/>
      <c r="F104" s="34"/>
      <c r="G104" s="10"/>
      <c r="H104" s="3"/>
    </row>
    <row r="105" spans="1:8">
      <c r="A105" s="25" t="s">
        <v>194</v>
      </c>
      <c r="B105" s="35" t="s">
        <v>54</v>
      </c>
      <c r="C105" s="34"/>
      <c r="D105" s="34"/>
      <c r="E105" s="34"/>
      <c r="F105" s="34"/>
      <c r="G105" s="10"/>
      <c r="H105" s="3"/>
    </row>
    <row r="106" spans="1:8">
      <c r="A106" s="25" t="s">
        <v>195</v>
      </c>
      <c r="B106" s="35" t="s">
        <v>55</v>
      </c>
      <c r="C106" s="34"/>
      <c r="D106" s="25"/>
      <c r="E106" s="34"/>
      <c r="F106" s="34"/>
      <c r="G106" s="10"/>
      <c r="H106" s="3"/>
    </row>
    <row r="107" spans="1:8">
      <c r="A107" s="25" t="s">
        <v>93</v>
      </c>
      <c r="B107" s="13" t="s">
        <v>56</v>
      </c>
      <c r="C107" s="34"/>
      <c r="D107" s="34"/>
      <c r="E107" s="34"/>
      <c r="F107" s="34"/>
      <c r="G107" s="10"/>
      <c r="H107" s="3"/>
    </row>
    <row r="108" spans="1:8">
      <c r="A108" s="25" t="s">
        <v>275</v>
      </c>
      <c r="B108" s="13" t="s">
        <v>57</v>
      </c>
      <c r="C108" s="34"/>
      <c r="D108" s="34"/>
      <c r="E108" s="34"/>
      <c r="F108" s="34"/>
      <c r="G108" s="10"/>
      <c r="H108" s="3"/>
    </row>
    <row r="109" spans="1:8">
      <c r="A109" s="25" t="s">
        <v>276</v>
      </c>
      <c r="B109" s="13" t="s">
        <v>58</v>
      </c>
      <c r="C109" s="34"/>
      <c r="D109" s="34"/>
      <c r="E109" s="34"/>
      <c r="F109" s="34"/>
      <c r="G109" s="10"/>
      <c r="H109" s="3"/>
    </row>
    <row r="110" spans="1:8">
      <c r="A110" s="27" t="s">
        <v>277</v>
      </c>
      <c r="B110" s="13" t="s">
        <v>139</v>
      </c>
      <c r="C110" s="51">
        <v>1591</v>
      </c>
      <c r="D110" s="51"/>
      <c r="E110" s="34"/>
      <c r="F110" s="34"/>
      <c r="G110" s="10"/>
      <c r="H110" s="3"/>
    </row>
    <row r="111" spans="1:8">
      <c r="A111" s="30">
        <v>26</v>
      </c>
      <c r="B111" s="18" t="s">
        <v>278</v>
      </c>
      <c r="C111" s="34">
        <f>C112+C113</f>
        <v>1931</v>
      </c>
      <c r="D111" s="34">
        <f>D112+D113</f>
        <v>0</v>
      </c>
      <c r="E111" s="34">
        <f>E112+E113</f>
        <v>0</v>
      </c>
      <c r="F111" s="34"/>
      <c r="G111" s="10"/>
      <c r="H111" s="3"/>
    </row>
    <row r="112" spans="1:8">
      <c r="A112" s="25" t="s">
        <v>92</v>
      </c>
      <c r="B112" s="13" t="s">
        <v>59</v>
      </c>
      <c r="C112" s="34"/>
      <c r="D112" s="34"/>
      <c r="E112" s="34"/>
      <c r="F112" s="34"/>
      <c r="G112" s="10"/>
      <c r="H112" s="3"/>
    </row>
    <row r="113" spans="1:8">
      <c r="A113" s="27" t="s">
        <v>94</v>
      </c>
      <c r="B113" s="13" t="s">
        <v>164</v>
      </c>
      <c r="C113" s="34">
        <v>1931</v>
      </c>
      <c r="D113" s="34"/>
      <c r="E113" s="34"/>
      <c r="F113" s="34"/>
      <c r="G113" s="10"/>
      <c r="H113" s="3"/>
    </row>
    <row r="114" spans="1:8">
      <c r="A114" s="25"/>
      <c r="B114" s="13"/>
      <c r="C114" s="34"/>
      <c r="D114" s="34"/>
      <c r="E114" s="34"/>
      <c r="F114" s="34"/>
      <c r="G114" s="10"/>
      <c r="H114" s="3"/>
    </row>
    <row r="115" spans="1:8" ht="38.25">
      <c r="A115" s="36">
        <v>27</v>
      </c>
      <c r="B115" s="754" t="s">
        <v>279</v>
      </c>
      <c r="C115" s="51">
        <f>SUM(C116+C119)</f>
        <v>26024</v>
      </c>
      <c r="D115" s="51">
        <f>SUM(D116+D119)</f>
        <v>0</v>
      </c>
      <c r="E115" s="34">
        <f>E116+E119</f>
        <v>0</v>
      </c>
      <c r="F115" s="34"/>
      <c r="G115" s="10"/>
      <c r="H115" s="3"/>
    </row>
    <row r="116" spans="1:8" ht="25.5">
      <c r="A116" s="30" t="s">
        <v>196</v>
      </c>
      <c r="B116" s="126" t="s">
        <v>280</v>
      </c>
      <c r="C116" s="52">
        <f>SUM(C117,C118)</f>
        <v>23992</v>
      </c>
      <c r="D116" s="52">
        <f>SUM(D117:D118)</f>
        <v>0</v>
      </c>
      <c r="E116" s="34">
        <f>E117+E118</f>
        <v>0</v>
      </c>
      <c r="F116" s="25"/>
      <c r="G116" s="10"/>
      <c r="H116" s="3"/>
    </row>
    <row r="117" spans="1:8">
      <c r="A117" s="25" t="s">
        <v>281</v>
      </c>
      <c r="B117" s="35" t="s">
        <v>124</v>
      </c>
      <c r="C117" s="34"/>
      <c r="D117" s="34"/>
      <c r="E117" s="34"/>
      <c r="F117" s="25"/>
      <c r="G117" s="10"/>
      <c r="H117" s="3"/>
    </row>
    <row r="118" spans="1:8">
      <c r="A118" s="25" t="s">
        <v>282</v>
      </c>
      <c r="B118" s="35" t="s">
        <v>125</v>
      </c>
      <c r="C118" s="34">
        <v>23992</v>
      </c>
      <c r="D118" s="34"/>
      <c r="E118" s="25"/>
      <c r="F118" s="25"/>
      <c r="G118" s="10"/>
      <c r="H118" s="3"/>
    </row>
    <row r="119" spans="1:8" ht="25.5">
      <c r="A119" s="30" t="s">
        <v>283</v>
      </c>
      <c r="B119" s="126" t="s">
        <v>284</v>
      </c>
      <c r="C119" s="52">
        <f>SUM(C120:C122)</f>
        <v>2032</v>
      </c>
      <c r="D119" s="52">
        <f>SUM(D120:D122)</f>
        <v>0</v>
      </c>
      <c r="E119" s="52">
        <f>SUM(E120:E122)</f>
        <v>0</v>
      </c>
      <c r="F119" s="25"/>
      <c r="G119" s="10"/>
      <c r="H119" s="3"/>
    </row>
    <row r="120" spans="1:8">
      <c r="A120" s="25" t="s">
        <v>285</v>
      </c>
      <c r="B120" s="35" t="s">
        <v>126</v>
      </c>
      <c r="C120" s="34"/>
      <c r="D120" s="34"/>
      <c r="E120" s="25"/>
      <c r="F120" s="25"/>
      <c r="G120" s="10"/>
      <c r="H120" s="3"/>
    </row>
    <row r="121" spans="1:8">
      <c r="A121" s="27" t="s">
        <v>286</v>
      </c>
      <c r="B121" s="35" t="s">
        <v>287</v>
      </c>
      <c r="C121" s="34">
        <v>1607</v>
      </c>
      <c r="D121" s="34"/>
      <c r="E121" s="25"/>
      <c r="F121" s="25"/>
      <c r="G121" s="10"/>
      <c r="H121" s="3"/>
    </row>
    <row r="122" spans="1:8">
      <c r="A122" s="25" t="s">
        <v>288</v>
      </c>
      <c r="B122" s="35" t="s">
        <v>218</v>
      </c>
      <c r="C122" s="34">
        <v>425</v>
      </c>
      <c r="D122" s="34"/>
      <c r="E122" s="34"/>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757" t="s">
        <v>289</v>
      </c>
      <c r="C125" s="52">
        <f>SUM(C126:C127)</f>
        <v>0</v>
      </c>
      <c r="D125" s="52">
        <f>SUM(D126:D127)</f>
        <v>0</v>
      </c>
      <c r="E125" s="52">
        <f>SUM(E126:E127)</f>
        <v>0</v>
      </c>
      <c r="F125" s="25"/>
      <c r="G125" s="10"/>
      <c r="H125" s="3"/>
    </row>
    <row r="126" spans="1:8">
      <c r="A126" s="25" t="s">
        <v>127</v>
      </c>
      <c r="B126" s="24" t="s">
        <v>40</v>
      </c>
      <c r="C126" s="25"/>
      <c r="D126" s="25"/>
      <c r="E126" s="34"/>
      <c r="F126" s="25"/>
      <c r="G126" s="10"/>
      <c r="H126" s="3"/>
    </row>
    <row r="127" spans="1:8">
      <c r="A127" s="25" t="s">
        <v>129</v>
      </c>
      <c r="B127" s="24" t="s">
        <v>41</v>
      </c>
      <c r="C127" s="25"/>
      <c r="D127" s="25"/>
      <c r="E127" s="34"/>
      <c r="F127" s="25"/>
      <c r="G127" s="10"/>
      <c r="H127" s="3"/>
    </row>
    <row r="128" spans="1:8">
      <c r="A128" s="25"/>
      <c r="C128" s="25"/>
      <c r="D128" s="25"/>
      <c r="E128" s="25"/>
      <c r="F128" s="25"/>
      <c r="G128" s="10"/>
      <c r="H128" s="3"/>
    </row>
    <row r="129" spans="1:10">
      <c r="A129" s="30">
        <v>29</v>
      </c>
      <c r="B129" s="757" t="s">
        <v>290</v>
      </c>
      <c r="C129" s="25"/>
      <c r="D129" s="25"/>
      <c r="E129" s="25"/>
      <c r="F129" s="25"/>
      <c r="G129" s="10"/>
      <c r="H129" s="3"/>
    </row>
    <row r="130" spans="1:10">
      <c r="A130" s="30" t="s">
        <v>165</v>
      </c>
      <c r="B130" s="757" t="s">
        <v>37</v>
      </c>
      <c r="C130" s="25"/>
      <c r="D130" s="25"/>
      <c r="E130" s="25"/>
      <c r="F130" s="25"/>
      <c r="G130" s="10"/>
      <c r="H130" s="3"/>
    </row>
    <row r="131" spans="1:10">
      <c r="A131" s="30" t="s">
        <v>166</v>
      </c>
      <c r="B131" s="757" t="s">
        <v>79</v>
      </c>
      <c r="C131" s="25"/>
      <c r="D131" s="25"/>
      <c r="E131" s="34"/>
      <c r="F131" s="25"/>
      <c r="G131" s="10"/>
      <c r="H131" s="3"/>
    </row>
    <row r="132" spans="1:10">
      <c r="A132" s="30" t="s">
        <v>291</v>
      </c>
      <c r="B132" s="29" t="s">
        <v>222</v>
      </c>
      <c r="C132" s="30"/>
      <c r="D132" s="30"/>
      <c r="E132" s="30"/>
      <c r="F132" s="30"/>
      <c r="G132" s="757"/>
      <c r="H132" s="122"/>
    </row>
    <row r="133" spans="1:10">
      <c r="A133" s="30" t="s">
        <v>292</v>
      </c>
      <c r="B133" s="29" t="s">
        <v>293</v>
      </c>
      <c r="C133" s="30">
        <f>C134+C135</f>
        <v>0</v>
      </c>
      <c r="D133" s="30">
        <f>D134+D135</f>
        <v>0</v>
      </c>
      <c r="E133" s="30">
        <f>E134+E135</f>
        <v>0</v>
      </c>
      <c r="F133" s="30"/>
      <c r="G133" s="757"/>
      <c r="H133" s="122"/>
    </row>
    <row r="134" spans="1:10">
      <c r="A134" s="30" t="s">
        <v>294</v>
      </c>
      <c r="B134" s="29" t="s">
        <v>223</v>
      </c>
      <c r="C134" s="30"/>
      <c r="D134" s="25"/>
      <c r="E134" s="25"/>
      <c r="F134" s="25"/>
      <c r="G134" s="10"/>
      <c r="H134" s="122"/>
      <c r="J134" s="63"/>
    </row>
    <row r="135" spans="1:10">
      <c r="A135" s="30" t="s">
        <v>295</v>
      </c>
      <c r="B135" s="37" t="s">
        <v>224</v>
      </c>
      <c r="C135" s="25"/>
      <c r="D135" s="25"/>
      <c r="E135" s="34"/>
      <c r="F135" s="25"/>
      <c r="G135" s="10"/>
      <c r="H135" s="122"/>
    </row>
    <row r="136" spans="1:10">
      <c r="A136" s="30" t="s">
        <v>296</v>
      </c>
      <c r="B136" s="37" t="s">
        <v>225</v>
      </c>
      <c r="C136" s="30"/>
      <c r="D136" s="25"/>
      <c r="E136" s="25"/>
      <c r="F136" s="25"/>
      <c r="G136" s="10"/>
      <c r="H136" s="122"/>
    </row>
    <row r="137" spans="1:10">
      <c r="A137" s="25"/>
      <c r="B137" s="757" t="s">
        <v>297</v>
      </c>
      <c r="C137" s="25"/>
      <c r="D137" s="25"/>
      <c r="E137" s="25"/>
      <c r="F137" s="25"/>
      <c r="G137" s="10"/>
      <c r="H137" s="3"/>
    </row>
    <row r="138" spans="1:10">
      <c r="A138" s="38" t="s">
        <v>298</v>
      </c>
      <c r="B138" s="37" t="s">
        <v>197</v>
      </c>
      <c r="C138" s="34"/>
      <c r="D138" s="34"/>
      <c r="E138" s="30"/>
      <c r="F138" s="30"/>
      <c r="G138" s="757"/>
      <c r="H138" s="122"/>
    </row>
    <row r="139" spans="1:10">
      <c r="A139" s="38" t="s">
        <v>299</v>
      </c>
      <c r="B139" s="37" t="s">
        <v>198</v>
      </c>
      <c r="C139" s="34"/>
      <c r="D139" s="34"/>
      <c r="E139" s="30"/>
      <c r="F139" s="30"/>
      <c r="G139" s="757"/>
      <c r="H139" s="122"/>
    </row>
    <row r="140" spans="1:10">
      <c r="A140" s="38" t="s">
        <v>300</v>
      </c>
      <c r="B140" s="37" t="s">
        <v>199</v>
      </c>
      <c r="C140" s="34"/>
      <c r="D140" s="34"/>
      <c r="E140" s="30"/>
      <c r="F140" s="30"/>
      <c r="G140" s="757"/>
      <c r="H140" s="122"/>
    </row>
    <row r="141" spans="1:10">
      <c r="A141" s="38" t="s">
        <v>301</v>
      </c>
      <c r="B141" s="37" t="s">
        <v>200</v>
      </c>
      <c r="C141" s="30"/>
      <c r="D141" s="30"/>
      <c r="E141" s="30"/>
      <c r="F141" s="30"/>
      <c r="G141" s="757"/>
      <c r="H141" s="122"/>
    </row>
    <row r="142" spans="1:10">
      <c r="A142" s="30" t="s">
        <v>302</v>
      </c>
      <c r="B142" s="37" t="s">
        <v>220</v>
      </c>
      <c r="C142" s="25"/>
      <c r="D142" s="25"/>
      <c r="E142" s="34"/>
      <c r="F142" s="30"/>
      <c r="G142" s="757"/>
      <c r="H142" s="122"/>
    </row>
    <row r="143" spans="1:10">
      <c r="A143" s="30" t="s">
        <v>303</v>
      </c>
      <c r="B143" s="37" t="s">
        <v>221</v>
      </c>
      <c r="C143" s="30"/>
      <c r="D143" s="30"/>
      <c r="E143" s="30"/>
      <c r="F143" s="30"/>
      <c r="G143" s="757"/>
      <c r="H143" s="122"/>
    </row>
    <row r="144" spans="1:10">
      <c r="A144" s="1213"/>
      <c r="B144" s="1214"/>
      <c r="C144" s="1214"/>
      <c r="D144" s="1214"/>
      <c r="E144" s="1214"/>
      <c r="F144" s="1214"/>
      <c r="G144" s="1216"/>
      <c r="H144" s="124"/>
    </row>
    <row r="145" spans="1:9" ht="15.75" customHeight="1">
      <c r="A145" s="1199" t="s">
        <v>99</v>
      </c>
      <c r="B145" s="1299"/>
      <c r="C145" s="1299"/>
      <c r="D145" s="1299"/>
      <c r="E145" s="1299"/>
      <c r="F145" s="1299"/>
      <c r="G145" s="1299"/>
      <c r="H145" s="128"/>
      <c r="I145" s="120"/>
    </row>
    <row r="147" spans="1:9">
      <c r="A147" s="38">
        <v>30</v>
      </c>
      <c r="B147" s="757" t="s">
        <v>304</v>
      </c>
      <c r="C147" s="53">
        <f>SUM(C148:C149)</f>
        <v>0</v>
      </c>
    </row>
    <row r="148" spans="1:9">
      <c r="A148" s="27" t="s">
        <v>169</v>
      </c>
      <c r="B148" s="10" t="s">
        <v>167</v>
      </c>
    </row>
    <row r="149" spans="1:9">
      <c r="A149" s="27" t="s">
        <v>171</v>
      </c>
      <c r="B149" s="10" t="s">
        <v>168</v>
      </c>
    </row>
    <row r="150" spans="1:9" ht="24.75">
      <c r="A150" s="38">
        <v>31</v>
      </c>
      <c r="B150" s="754" t="s">
        <v>305</v>
      </c>
      <c r="C150" s="751"/>
    </row>
    <row r="151" spans="1:9">
      <c r="A151" s="27" t="s">
        <v>137</v>
      </c>
      <c r="B151" s="10" t="s">
        <v>170</v>
      </c>
      <c r="C151" s="751"/>
    </row>
    <row r="152" spans="1:9">
      <c r="A152" s="27" t="s">
        <v>138</v>
      </c>
      <c r="B152" s="10" t="s">
        <v>172</v>
      </c>
      <c r="C152" s="751"/>
    </row>
    <row r="153" spans="1:9">
      <c r="A153" s="27"/>
      <c r="B153" s="10"/>
      <c r="C153" s="751"/>
    </row>
    <row r="154" spans="1:9">
      <c r="A154" s="30"/>
      <c r="B154" s="1201" t="s">
        <v>306</v>
      </c>
      <c r="C154" s="1202"/>
    </row>
    <row r="155" spans="1:9">
      <c r="A155" s="30">
        <v>32</v>
      </c>
      <c r="B155" s="26" t="s">
        <v>307</v>
      </c>
      <c r="C155" s="52">
        <f>SUM(C156,C157,C163)</f>
        <v>203335</v>
      </c>
    </row>
    <row r="156" spans="1:9" ht="15">
      <c r="A156" s="25" t="s">
        <v>308</v>
      </c>
      <c r="B156" s="28" t="s">
        <v>69</v>
      </c>
      <c r="C156" s="762">
        <v>88058</v>
      </c>
    </row>
    <row r="157" spans="1:9">
      <c r="A157" s="27" t="s">
        <v>309</v>
      </c>
      <c r="B157" s="28" t="s">
        <v>70</v>
      </c>
      <c r="C157" s="25">
        <v>24099</v>
      </c>
    </row>
    <row r="158" spans="1:9" ht="15">
      <c r="A158" s="30">
        <v>33</v>
      </c>
      <c r="B158" s="41" t="s">
        <v>71</v>
      </c>
      <c r="C158" s="762">
        <v>142437</v>
      </c>
    </row>
    <row r="159" spans="1:9">
      <c r="A159" s="30">
        <v>34</v>
      </c>
      <c r="B159" s="26" t="s">
        <v>310</v>
      </c>
      <c r="C159" s="52">
        <f>SUM(C160:C162)</f>
        <v>646</v>
      </c>
    </row>
    <row r="160" spans="1:9" ht="15">
      <c r="A160" s="25" t="s">
        <v>173</v>
      </c>
      <c r="B160" s="28" t="s">
        <v>72</v>
      </c>
      <c r="C160" s="763">
        <v>646</v>
      </c>
    </row>
    <row r="161" spans="1:7" ht="15">
      <c r="A161" s="27" t="s">
        <v>175</v>
      </c>
      <c r="B161" s="28" t="s">
        <v>73</v>
      </c>
      <c r="C161" s="762">
        <v>0</v>
      </c>
    </row>
    <row r="162" spans="1:7">
      <c r="A162" s="27" t="s">
        <v>177</v>
      </c>
      <c r="B162" s="28" t="s">
        <v>214</v>
      </c>
      <c r="C162" s="25">
        <v>0</v>
      </c>
    </row>
    <row r="163" spans="1:7">
      <c r="A163" s="23">
        <v>35</v>
      </c>
      <c r="B163" s="26" t="s">
        <v>311</v>
      </c>
      <c r="C163" s="52">
        <f>SUM(C164:C166)</f>
        <v>91178</v>
      </c>
    </row>
    <row r="164" spans="1:7" ht="15">
      <c r="A164" s="39" t="s">
        <v>312</v>
      </c>
      <c r="B164" s="41" t="s">
        <v>174</v>
      </c>
      <c r="C164" s="762"/>
    </row>
    <row r="165" spans="1:7" ht="15">
      <c r="A165" s="27" t="s">
        <v>313</v>
      </c>
      <c r="B165" s="41" t="s">
        <v>176</v>
      </c>
      <c r="C165" s="764">
        <v>71658</v>
      </c>
    </row>
    <row r="166" spans="1:7">
      <c r="A166" s="27" t="s">
        <v>314</v>
      </c>
      <c r="B166" s="41" t="s">
        <v>178</v>
      </c>
      <c r="C166" s="25">
        <v>19520</v>
      </c>
    </row>
    <row r="168" spans="1:7">
      <c r="A168" s="23"/>
      <c r="B168" s="129" t="s">
        <v>87</v>
      </c>
      <c r="C168" s="765"/>
      <c r="D168" s="750"/>
      <c r="E168" s="130"/>
      <c r="F168" s="131"/>
    </row>
    <row r="169" spans="1:7">
      <c r="A169" s="23">
        <v>36</v>
      </c>
      <c r="B169" s="132" t="s">
        <v>74</v>
      </c>
      <c r="C169" s="25">
        <v>3409</v>
      </c>
      <c r="D169" s="134"/>
      <c r="E169" s="46"/>
      <c r="F169" s="46"/>
      <c r="G169" s="135"/>
    </row>
    <row r="170" spans="1:7">
      <c r="A170" s="23">
        <v>37</v>
      </c>
      <c r="B170" s="41" t="s">
        <v>75</v>
      </c>
      <c r="C170" s="25">
        <v>4016</v>
      </c>
      <c r="D170" s="134"/>
      <c r="E170" s="46"/>
      <c r="F170" s="46"/>
      <c r="G170" s="135"/>
    </row>
    <row r="171" spans="1:7">
      <c r="A171" s="23">
        <v>38</v>
      </c>
      <c r="B171" s="26" t="s">
        <v>315</v>
      </c>
      <c r="C171" s="52">
        <f>SUM(C172:C174)</f>
        <v>7425</v>
      </c>
      <c r="D171" s="137"/>
      <c r="E171" s="138"/>
      <c r="F171" s="138"/>
      <c r="G171" s="138"/>
    </row>
    <row r="172" spans="1:7">
      <c r="A172" s="39" t="s">
        <v>118</v>
      </c>
      <c r="B172" s="28" t="s">
        <v>208</v>
      </c>
      <c r="C172" s="25">
        <v>4120</v>
      </c>
      <c r="D172" s="134"/>
      <c r="E172" s="46"/>
      <c r="F172" s="46"/>
      <c r="G172" s="135"/>
    </row>
    <row r="173" spans="1:7">
      <c r="A173" s="39" t="s">
        <v>119</v>
      </c>
      <c r="B173" s="28" t="s">
        <v>209</v>
      </c>
      <c r="C173" s="25">
        <v>815</v>
      </c>
      <c r="D173" s="134"/>
      <c r="E173" s="46"/>
      <c r="F173" s="46"/>
      <c r="G173" s="135"/>
    </row>
    <row r="174" spans="1:7">
      <c r="A174" s="27" t="s">
        <v>120</v>
      </c>
      <c r="B174" s="28" t="s">
        <v>210</v>
      </c>
      <c r="C174" s="25">
        <v>2490</v>
      </c>
      <c r="D174" s="134"/>
      <c r="E174" s="46"/>
      <c r="F174" s="46"/>
      <c r="G174" s="135"/>
    </row>
    <row r="175" spans="1:7">
      <c r="A175" s="23">
        <v>39</v>
      </c>
      <c r="B175" s="26" t="s">
        <v>316</v>
      </c>
      <c r="C175" s="52">
        <f>SUM(C176:C178)</f>
        <v>0</v>
      </c>
      <c r="D175" s="134"/>
      <c r="E175" s="46"/>
      <c r="F175" s="46"/>
      <c r="G175" s="135"/>
    </row>
    <row r="176" spans="1:7">
      <c r="A176" s="39" t="s">
        <v>317</v>
      </c>
      <c r="B176" s="28" t="s">
        <v>76</v>
      </c>
      <c r="C176" s="203">
        <v>0</v>
      </c>
      <c r="D176" s="134"/>
      <c r="E176" s="46"/>
      <c r="F176" s="46"/>
      <c r="G176" s="135"/>
    </row>
    <row r="177" spans="1:7">
      <c r="A177" s="39" t="s">
        <v>318</v>
      </c>
      <c r="B177" s="28" t="s">
        <v>77</v>
      </c>
      <c r="C177" s="25">
        <v>0</v>
      </c>
      <c r="D177" s="134"/>
      <c r="E177" s="46"/>
      <c r="F177" s="46"/>
      <c r="G177" s="135"/>
    </row>
    <row r="178" spans="1:7">
      <c r="A178" s="27" t="s">
        <v>319</v>
      </c>
      <c r="B178" s="28" t="s">
        <v>78</v>
      </c>
      <c r="C178" s="25">
        <v>0</v>
      </c>
      <c r="D178" s="134"/>
      <c r="E178" s="46"/>
      <c r="F178" s="46"/>
      <c r="G178" s="135"/>
    </row>
    <row r="179" spans="1:7">
      <c r="A179" s="39"/>
      <c r="B179" s="28"/>
      <c r="C179" s="25"/>
      <c r="D179" s="134"/>
      <c r="E179" s="46"/>
      <c r="F179" s="46"/>
      <c r="G179" s="135"/>
    </row>
    <row r="180" spans="1:7" ht="25.5">
      <c r="A180" s="39"/>
      <c r="B180" s="139" t="s">
        <v>88</v>
      </c>
      <c r="C180" s="25"/>
      <c r="D180" s="134"/>
      <c r="E180" s="46"/>
      <c r="F180" s="46"/>
      <c r="G180" s="135"/>
    </row>
    <row r="181" spans="1:7">
      <c r="A181" s="23">
        <v>40</v>
      </c>
      <c r="B181" s="41" t="s">
        <v>74</v>
      </c>
      <c r="C181" s="25">
        <v>4446</v>
      </c>
      <c r="D181" s="134"/>
      <c r="E181" s="46"/>
      <c r="F181" s="46"/>
      <c r="G181" s="135"/>
    </row>
    <row r="182" spans="1:7">
      <c r="A182" s="23">
        <v>41</v>
      </c>
      <c r="B182" s="41" t="s">
        <v>75</v>
      </c>
      <c r="C182" s="25">
        <v>4446</v>
      </c>
      <c r="D182" s="134"/>
      <c r="E182" s="46"/>
      <c r="F182" s="46"/>
      <c r="G182" s="135"/>
    </row>
    <row r="183" spans="1:7">
      <c r="A183" s="23">
        <v>42</v>
      </c>
      <c r="B183" s="26" t="s">
        <v>320</v>
      </c>
      <c r="C183" s="52">
        <f>SUM(C184:C186)</f>
        <v>8892</v>
      </c>
      <c r="D183" s="134"/>
      <c r="E183" s="46"/>
      <c r="F183" s="46"/>
      <c r="G183" s="135"/>
    </row>
    <row r="184" spans="1:7">
      <c r="A184" s="39" t="s">
        <v>96</v>
      </c>
      <c r="B184" s="28" t="s">
        <v>211</v>
      </c>
      <c r="C184" s="25">
        <v>4967</v>
      </c>
      <c r="D184" s="134"/>
      <c r="E184" s="46"/>
      <c r="F184" s="46"/>
      <c r="G184" s="135"/>
    </row>
    <row r="185" spans="1:7">
      <c r="A185" s="39" t="s">
        <v>97</v>
      </c>
      <c r="B185" s="28" t="s">
        <v>212</v>
      </c>
      <c r="C185" s="25">
        <v>805</v>
      </c>
      <c r="D185" s="140"/>
      <c r="E185" s="141"/>
      <c r="F185" s="46"/>
      <c r="G185" s="135"/>
    </row>
    <row r="186" spans="1:7">
      <c r="A186" s="27" t="s">
        <v>98</v>
      </c>
      <c r="B186" s="28" t="s">
        <v>213</v>
      </c>
      <c r="C186" s="25">
        <v>3120</v>
      </c>
      <c r="D186" s="25"/>
      <c r="E186" s="25"/>
      <c r="F186" s="46"/>
    </row>
    <row r="187" spans="1:7">
      <c r="A187" s="23">
        <v>43</v>
      </c>
      <c r="B187" s="26" t="s">
        <v>321</v>
      </c>
      <c r="C187" s="52">
        <f>SUM(C188:C190)</f>
        <v>0</v>
      </c>
      <c r="D187" s="25"/>
      <c r="E187" s="25"/>
      <c r="F187" s="46"/>
    </row>
    <row r="188" spans="1:7">
      <c r="A188" s="39" t="s">
        <v>100</v>
      </c>
      <c r="B188" s="28" t="s">
        <v>76</v>
      </c>
      <c r="C188" s="203"/>
      <c r="D188" s="25"/>
      <c r="E188" s="25"/>
      <c r="F188" s="46"/>
    </row>
    <row r="189" spans="1:7">
      <c r="A189" s="39" t="s">
        <v>101</v>
      </c>
      <c r="B189" s="28" t="s">
        <v>77</v>
      </c>
      <c r="C189" s="203"/>
      <c r="D189" s="25"/>
      <c r="E189" s="25"/>
      <c r="F189" s="46"/>
    </row>
    <row r="190" spans="1:7">
      <c r="A190" s="25" t="s">
        <v>102</v>
      </c>
      <c r="B190" s="13" t="s">
        <v>78</v>
      </c>
      <c r="C190" s="25"/>
      <c r="D190" s="25"/>
      <c r="E190" s="25"/>
      <c r="F190" s="46"/>
    </row>
    <row r="191" spans="1:7">
      <c r="D191" s="142"/>
      <c r="E191" s="143"/>
    </row>
    <row r="192" spans="1:7">
      <c r="A192" s="25"/>
      <c r="B192" s="757" t="s">
        <v>322</v>
      </c>
      <c r="C192" s="40" t="s">
        <v>90</v>
      </c>
      <c r="D192" s="1297" t="s">
        <v>81</v>
      </c>
      <c r="E192" s="1298"/>
      <c r="F192" s="131"/>
    </row>
    <row r="193" spans="1:6">
      <c r="A193" s="25"/>
      <c r="B193" s="10"/>
      <c r="C193" s="40"/>
      <c r="D193" s="43" t="s">
        <v>82</v>
      </c>
      <c r="E193" s="43" t="s">
        <v>83</v>
      </c>
      <c r="F193" s="144"/>
    </row>
    <row r="194" spans="1:6">
      <c r="A194" s="30">
        <v>44</v>
      </c>
      <c r="B194" s="757" t="s">
        <v>323</v>
      </c>
      <c r="C194" s="54">
        <f>SUM(C195:C197)</f>
        <v>683</v>
      </c>
      <c r="D194" s="52">
        <f>SUM(D195:D197)</f>
        <v>0</v>
      </c>
      <c r="E194" s="52">
        <f>SUM(E195:E197)</f>
        <v>0</v>
      </c>
      <c r="F194" s="145"/>
    </row>
    <row r="195" spans="1:6">
      <c r="A195" s="25" t="s">
        <v>121</v>
      </c>
      <c r="B195" s="13" t="s">
        <v>181</v>
      </c>
      <c r="C195" s="40">
        <v>679</v>
      </c>
      <c r="D195" s="25"/>
      <c r="E195" s="25"/>
      <c r="F195" s="46"/>
    </row>
    <row r="196" spans="1:6">
      <c r="A196" s="25" t="s">
        <v>122</v>
      </c>
      <c r="B196" s="13" t="s">
        <v>182</v>
      </c>
      <c r="C196" s="40">
        <v>4</v>
      </c>
      <c r="D196" s="25"/>
      <c r="E196" s="25"/>
      <c r="F196" s="46"/>
    </row>
    <row r="197" spans="1:6">
      <c r="A197" s="27" t="s">
        <v>123</v>
      </c>
      <c r="B197" s="13" t="s">
        <v>180</v>
      </c>
      <c r="C197" s="40">
        <v>0</v>
      </c>
      <c r="D197" s="25"/>
      <c r="E197" s="25"/>
      <c r="F197" s="46"/>
    </row>
    <row r="198" spans="1:6">
      <c r="A198" s="30">
        <v>45</v>
      </c>
      <c r="B198" s="757" t="s">
        <v>324</v>
      </c>
      <c r="C198" s="54">
        <f>SUM(C199:C201)</f>
        <v>19025</v>
      </c>
      <c r="D198" s="52">
        <f>SUM(D199:D201)</f>
        <v>0</v>
      </c>
      <c r="E198" s="52">
        <f>SUM(E199:E201)</f>
        <v>0</v>
      </c>
      <c r="F198" s="145"/>
    </row>
    <row r="199" spans="1:6">
      <c r="A199" s="25" t="s">
        <v>325</v>
      </c>
      <c r="B199" s="13" t="s">
        <v>80</v>
      </c>
      <c r="C199" s="40">
        <v>18964</v>
      </c>
      <c r="D199" s="25"/>
      <c r="E199" s="25"/>
      <c r="F199" s="46"/>
    </row>
    <row r="200" spans="1:6">
      <c r="A200" s="25" t="s">
        <v>326</v>
      </c>
      <c r="B200" s="13" t="s">
        <v>60</v>
      </c>
      <c r="C200" s="40">
        <v>61</v>
      </c>
      <c r="D200" s="25"/>
      <c r="E200" s="25"/>
      <c r="F200" s="46"/>
    </row>
    <row r="201" spans="1:6">
      <c r="A201" s="27" t="s">
        <v>327</v>
      </c>
      <c r="B201" s="13" t="s">
        <v>180</v>
      </c>
      <c r="C201" s="40">
        <v>0</v>
      </c>
      <c r="D201" s="25"/>
      <c r="E201" s="25"/>
      <c r="F201" s="46"/>
    </row>
    <row r="202" spans="1:6">
      <c r="A202" s="44"/>
      <c r="B202" s="45"/>
      <c r="C202" s="46"/>
      <c r="D202" s="146"/>
      <c r="E202" s="147"/>
      <c r="F202" s="46"/>
    </row>
    <row r="203" spans="1:6">
      <c r="A203" s="30">
        <v>46</v>
      </c>
      <c r="B203" s="10" t="s">
        <v>203</v>
      </c>
      <c r="C203" s="40">
        <v>44</v>
      </c>
      <c r="D203" s="25"/>
      <c r="E203" s="25"/>
      <c r="F203" s="46"/>
    </row>
    <row r="204" spans="1:6">
      <c r="A204" s="30">
        <v>47</v>
      </c>
      <c r="B204" s="49" t="s">
        <v>204</v>
      </c>
      <c r="C204" s="40">
        <v>41</v>
      </c>
      <c r="D204" s="25"/>
      <c r="E204" s="25"/>
      <c r="F204" s="46"/>
    </row>
    <row r="205" spans="1:6">
      <c r="A205" s="30">
        <v>48</v>
      </c>
      <c r="B205" s="10" t="s">
        <v>179</v>
      </c>
      <c r="C205" s="40">
        <v>2</v>
      </c>
      <c r="D205" s="25"/>
      <c r="E205" s="25"/>
      <c r="F205" s="46"/>
    </row>
    <row r="206" spans="1:6">
      <c r="A206" s="30">
        <v>49</v>
      </c>
      <c r="B206" s="10" t="s">
        <v>61</v>
      </c>
      <c r="C206" s="40">
        <v>85</v>
      </c>
      <c r="D206" s="25"/>
      <c r="E206" s="25"/>
      <c r="F206" s="46"/>
    </row>
    <row r="207" spans="1:6">
      <c r="A207" s="204">
        <v>50</v>
      </c>
      <c r="B207" s="48" t="s">
        <v>202</v>
      </c>
      <c r="C207" s="47"/>
      <c r="D207" s="149"/>
      <c r="E207" s="150"/>
      <c r="F207" s="47"/>
    </row>
    <row r="208" spans="1:6">
      <c r="A208" s="47"/>
      <c r="B208" s="151"/>
      <c r="C208" s="47"/>
      <c r="D208" s="47"/>
      <c r="E208" s="47"/>
      <c r="F208" s="47"/>
    </row>
    <row r="209" spans="1:6">
      <c r="A209" s="47"/>
      <c r="B209" s="757" t="s">
        <v>506</v>
      </c>
      <c r="C209" s="47"/>
      <c r="D209" s="47"/>
      <c r="E209" s="47"/>
      <c r="F209" s="47"/>
    </row>
    <row r="210" spans="1:6">
      <c r="A210" s="4" t="s">
        <v>86</v>
      </c>
      <c r="B210" s="46" t="s">
        <v>8</v>
      </c>
      <c r="C210" s="751" t="s">
        <v>50</v>
      </c>
      <c r="D210" s="751" t="s">
        <v>51</v>
      </c>
      <c r="E210" s="751" t="s">
        <v>110</v>
      </c>
      <c r="F210" s="47"/>
    </row>
    <row r="211" spans="1:6" s="1" customFormat="1">
      <c r="A211" s="38">
        <v>51</v>
      </c>
      <c r="B211" s="757" t="s">
        <v>328</v>
      </c>
      <c r="C211" s="52">
        <v>0</v>
      </c>
      <c r="D211" s="52">
        <f>SUM(D212:D227)</f>
        <v>0</v>
      </c>
      <c r="E211" s="52">
        <f>SUM(E212:E227)</f>
        <v>0</v>
      </c>
      <c r="F211" s="10"/>
    </row>
    <row r="212" spans="1:6" s="1" customFormat="1">
      <c r="A212" s="27" t="s">
        <v>329</v>
      </c>
      <c r="B212" s="13" t="s">
        <v>226</v>
      </c>
      <c r="C212" s="751">
        <v>213</v>
      </c>
      <c r="D212" s="751"/>
      <c r="E212" s="751"/>
      <c r="F212" s="10"/>
    </row>
    <row r="213" spans="1:6" s="1" customFormat="1">
      <c r="A213" s="27" t="s">
        <v>330</v>
      </c>
      <c r="B213" s="35" t="s">
        <v>128</v>
      </c>
      <c r="C213" s="751">
        <v>184</v>
      </c>
      <c r="D213" s="751"/>
      <c r="E213" s="751"/>
      <c r="F213" s="10"/>
    </row>
    <row r="214" spans="1:6" s="1" customFormat="1">
      <c r="A214" s="27" t="s">
        <v>331</v>
      </c>
      <c r="B214" s="13" t="s">
        <v>227</v>
      </c>
      <c r="C214" s="751">
        <v>162</v>
      </c>
      <c r="D214" s="751"/>
      <c r="E214" s="751"/>
      <c r="F214" s="10"/>
    </row>
    <row r="215" spans="1:6" s="1" customFormat="1">
      <c r="A215" s="27" t="s">
        <v>332</v>
      </c>
      <c r="B215" s="35" t="s">
        <v>130</v>
      </c>
      <c r="C215" s="751">
        <v>0</v>
      </c>
      <c r="D215" s="751"/>
      <c r="E215" s="751"/>
      <c r="F215" s="10"/>
    </row>
    <row r="216" spans="1:6" s="1" customFormat="1">
      <c r="A216" s="27" t="s">
        <v>333</v>
      </c>
      <c r="B216" s="13" t="s">
        <v>232</v>
      </c>
      <c r="C216" s="751">
        <v>0</v>
      </c>
      <c r="D216" s="751"/>
      <c r="E216" s="751"/>
      <c r="F216" s="10"/>
    </row>
    <row r="217" spans="1:6" s="1" customFormat="1">
      <c r="A217" s="27" t="s">
        <v>334</v>
      </c>
      <c r="B217" s="35" t="s">
        <v>131</v>
      </c>
      <c r="C217" s="751">
        <v>0</v>
      </c>
      <c r="D217" s="751"/>
      <c r="E217" s="751"/>
      <c r="F217" s="10"/>
    </row>
    <row r="218" spans="1:6" s="1" customFormat="1">
      <c r="A218" s="27" t="s">
        <v>335</v>
      </c>
      <c r="B218" s="13" t="s">
        <v>233</v>
      </c>
      <c r="C218" s="751">
        <v>0</v>
      </c>
      <c r="D218" s="751"/>
      <c r="E218" s="751"/>
      <c r="F218" s="10"/>
    </row>
    <row r="219" spans="1:6" s="1" customFormat="1">
      <c r="A219" s="27" t="s">
        <v>336</v>
      </c>
      <c r="B219" s="35" t="s">
        <v>132</v>
      </c>
      <c r="C219" s="751">
        <v>0</v>
      </c>
      <c r="D219" s="751"/>
      <c r="E219" s="751"/>
      <c r="F219" s="10"/>
    </row>
    <row r="220" spans="1:6" s="1" customFormat="1">
      <c r="A220" s="27" t="s">
        <v>337</v>
      </c>
      <c r="B220" s="13" t="s">
        <v>234</v>
      </c>
      <c r="C220" s="751">
        <v>23</v>
      </c>
      <c r="D220" s="751"/>
      <c r="E220" s="751"/>
      <c r="F220" s="10"/>
    </row>
    <row r="221" spans="1:6" s="1" customFormat="1">
      <c r="A221" s="27" t="s">
        <v>338</v>
      </c>
      <c r="B221" s="35" t="s">
        <v>133</v>
      </c>
      <c r="C221" s="751">
        <v>23</v>
      </c>
      <c r="D221" s="751"/>
      <c r="E221" s="751"/>
      <c r="F221" s="10"/>
    </row>
    <row r="222" spans="1:6" s="1" customFormat="1">
      <c r="A222" s="27" t="s">
        <v>339</v>
      </c>
      <c r="B222" s="13" t="s">
        <v>235</v>
      </c>
      <c r="C222" s="751">
        <v>1</v>
      </c>
      <c r="D222" s="751"/>
      <c r="E222" s="751"/>
      <c r="F222" s="10"/>
    </row>
    <row r="223" spans="1:6" s="1" customFormat="1">
      <c r="A223" s="27" t="s">
        <v>340</v>
      </c>
      <c r="B223" s="35" t="s">
        <v>134</v>
      </c>
      <c r="C223" s="751">
        <v>0</v>
      </c>
      <c r="D223" s="751"/>
      <c r="E223" s="751"/>
      <c r="F223" s="10"/>
    </row>
    <row r="224" spans="1:6" s="1" customFormat="1">
      <c r="A224" s="27" t="s">
        <v>341</v>
      </c>
      <c r="B224" s="13" t="s">
        <v>236</v>
      </c>
      <c r="C224" s="751">
        <v>5</v>
      </c>
      <c r="D224" s="751"/>
      <c r="E224" s="751"/>
      <c r="F224" s="10"/>
    </row>
    <row r="225" spans="1:8" s="1" customFormat="1">
      <c r="A225" s="27" t="s">
        <v>342</v>
      </c>
      <c r="B225" s="35" t="s">
        <v>135</v>
      </c>
      <c r="C225" s="751">
        <v>0</v>
      </c>
      <c r="D225" s="751"/>
      <c r="E225" s="751"/>
      <c r="F225" s="10"/>
    </row>
    <row r="226" spans="1:8" s="1" customFormat="1">
      <c r="A226" s="27" t="s">
        <v>343</v>
      </c>
      <c r="B226" s="13" t="s">
        <v>237</v>
      </c>
      <c r="C226" s="751">
        <v>5</v>
      </c>
      <c r="D226" s="751">
        <v>0</v>
      </c>
      <c r="E226" s="751"/>
      <c r="F226" s="10"/>
    </row>
    <row r="227" spans="1:8" s="1" customFormat="1" ht="25.5">
      <c r="A227" s="27" t="s">
        <v>344</v>
      </c>
      <c r="B227" s="152" t="s">
        <v>136</v>
      </c>
      <c r="C227" s="751">
        <v>0</v>
      </c>
      <c r="D227" s="751"/>
      <c r="E227" s="751"/>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65">
        <v>23</v>
      </c>
      <c r="D230" s="47"/>
      <c r="E230" s="47"/>
      <c r="F230" s="47"/>
    </row>
    <row r="231" spans="1:8">
      <c r="A231" s="27" t="s">
        <v>347</v>
      </c>
      <c r="B231" s="152" t="s">
        <v>115</v>
      </c>
      <c r="C231" s="164">
        <v>0</v>
      </c>
      <c r="D231" s="47"/>
      <c r="E231" s="47"/>
      <c r="F231" s="47"/>
    </row>
    <row r="232" spans="1:8" ht="25.5">
      <c r="A232" s="27" t="s">
        <v>348</v>
      </c>
      <c r="B232" s="155" t="s">
        <v>239</v>
      </c>
      <c r="C232" s="164">
        <v>2</v>
      </c>
      <c r="D232" s="47"/>
      <c r="E232" s="47"/>
      <c r="F232" s="47"/>
    </row>
    <row r="233" spans="1:8">
      <c r="A233" s="27" t="s">
        <v>349</v>
      </c>
      <c r="B233" s="152" t="s">
        <v>116</v>
      </c>
      <c r="C233" s="164">
        <v>0</v>
      </c>
      <c r="D233" s="47"/>
      <c r="E233" s="47"/>
      <c r="F233" s="47"/>
    </row>
    <row r="234" spans="1:8" ht="25.5">
      <c r="A234" s="27" t="s">
        <v>350</v>
      </c>
      <c r="B234" s="155" t="s">
        <v>240</v>
      </c>
      <c r="C234" s="164">
        <v>2</v>
      </c>
      <c r="D234" s="47"/>
      <c r="E234" s="47"/>
      <c r="F234" s="47"/>
    </row>
    <row r="235" spans="1:8">
      <c r="A235" s="27" t="s">
        <v>351</v>
      </c>
      <c r="B235" s="152" t="s">
        <v>117</v>
      </c>
      <c r="C235" s="206">
        <v>0</v>
      </c>
      <c r="D235" s="47"/>
      <c r="E235" s="47"/>
      <c r="F235" s="47"/>
    </row>
    <row r="236" spans="1:8">
      <c r="A236" s="158"/>
      <c r="B236" s="159"/>
      <c r="C236" s="47"/>
      <c r="D236" s="47"/>
      <c r="E236" s="47"/>
      <c r="F236" s="47"/>
    </row>
    <row r="237" spans="1:8" ht="15.75" customHeight="1">
      <c r="A237" s="1199" t="s">
        <v>89</v>
      </c>
      <c r="B237" s="1299"/>
      <c r="C237" s="1299"/>
      <c r="D237" s="1299"/>
      <c r="E237" s="1299"/>
      <c r="F237" s="1299"/>
      <c r="G237" s="1300"/>
      <c r="H237" s="120"/>
    </row>
    <row r="238" spans="1:8">
      <c r="A238" s="25" t="s">
        <v>86</v>
      </c>
      <c r="B238" s="25" t="s">
        <v>8</v>
      </c>
      <c r="C238" s="25" t="s">
        <v>0</v>
      </c>
      <c r="D238" s="25"/>
      <c r="E238" s="40"/>
      <c r="F238" s="40"/>
      <c r="G238" s="10"/>
      <c r="H238" s="3"/>
    </row>
    <row r="239" spans="1:8">
      <c r="A239" s="30">
        <v>52</v>
      </c>
      <c r="B239" s="10" t="s">
        <v>62</v>
      </c>
      <c r="C239" s="25">
        <v>75</v>
      </c>
      <c r="D239" s="25"/>
      <c r="E239" s="40"/>
      <c r="F239" s="40"/>
      <c r="G239" s="10"/>
      <c r="H239" s="3"/>
    </row>
    <row r="240" spans="1:8">
      <c r="A240" s="30">
        <v>53</v>
      </c>
      <c r="B240" s="10" t="s">
        <v>63</v>
      </c>
      <c r="C240" s="1134">
        <v>37875</v>
      </c>
      <c r="D240" s="25"/>
      <c r="E240" s="40"/>
      <c r="F240" s="40"/>
      <c r="G240" s="10"/>
      <c r="H240" s="3"/>
    </row>
    <row r="241" spans="1:10">
      <c r="A241" s="30">
        <v>54</v>
      </c>
      <c r="B241" s="10" t="s">
        <v>215</v>
      </c>
      <c r="C241" s="25">
        <v>71</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756" t="s">
        <v>352</v>
      </c>
      <c r="H243" s="160"/>
    </row>
    <row r="244" spans="1:10">
      <c r="A244" s="30"/>
      <c r="B244" s="10"/>
      <c r="C244" s="25"/>
      <c r="D244" s="25"/>
      <c r="E244" s="40"/>
      <c r="F244" s="40"/>
      <c r="G244" s="25"/>
      <c r="H244" s="160"/>
    </row>
    <row r="245" spans="1:10">
      <c r="A245" s="30">
        <v>55</v>
      </c>
      <c r="B245" s="757" t="s">
        <v>217</v>
      </c>
      <c r="C245" s="52">
        <f>SUM(C246:C251)</f>
        <v>1314</v>
      </c>
      <c r="D245" s="52">
        <f>SUM(D246:D251)</f>
        <v>0</v>
      </c>
      <c r="E245" s="54">
        <f>SUM(E246:E251)</f>
        <v>0</v>
      </c>
      <c r="F245" s="54">
        <f>SUM(F246:F251)</f>
        <v>0</v>
      </c>
      <c r="G245" s="52">
        <f>SUM(C245:F245)</f>
        <v>1314</v>
      </c>
      <c r="H245" s="145"/>
    </row>
    <row r="246" spans="1:10">
      <c r="A246" s="25" t="s">
        <v>353</v>
      </c>
      <c r="B246" s="13" t="s">
        <v>64</v>
      </c>
      <c r="C246" s="766">
        <v>1206</v>
      </c>
      <c r="D246" s="61"/>
      <c r="E246" s="61"/>
      <c r="F246" s="61"/>
      <c r="G246" s="52">
        <f t="shared" ref="G246:G251" si="0">SUM(C246:F246)</f>
        <v>1206</v>
      </c>
      <c r="H246" s="3"/>
      <c r="J246" s="25"/>
    </row>
    <row r="247" spans="1:10">
      <c r="A247" s="27" t="s">
        <v>354</v>
      </c>
      <c r="B247" s="13" t="s">
        <v>65</v>
      </c>
      <c r="C247" s="25">
        <v>0</v>
      </c>
      <c r="D247" s="25"/>
      <c r="E247" s="40"/>
      <c r="F247" s="40"/>
      <c r="G247" s="52">
        <f t="shared" si="0"/>
        <v>0</v>
      </c>
      <c r="H247" s="3"/>
    </row>
    <row r="248" spans="1:10">
      <c r="A248" s="27" t="s">
        <v>355</v>
      </c>
      <c r="B248" s="13" t="s">
        <v>66</v>
      </c>
      <c r="C248" s="25">
        <v>37</v>
      </c>
      <c r="D248" s="25"/>
      <c r="E248" s="40"/>
      <c r="F248" s="40"/>
      <c r="G248" s="52">
        <f t="shared" si="0"/>
        <v>37</v>
      </c>
      <c r="H248" s="3"/>
    </row>
    <row r="249" spans="1:10">
      <c r="A249" s="27" t="s">
        <v>356</v>
      </c>
      <c r="B249" s="13" t="s">
        <v>67</v>
      </c>
      <c r="C249" s="25">
        <v>46</v>
      </c>
      <c r="D249" s="25"/>
      <c r="E249" s="40"/>
      <c r="F249" s="40"/>
      <c r="G249" s="52">
        <f t="shared" si="0"/>
        <v>46</v>
      </c>
      <c r="H249" s="3"/>
    </row>
    <row r="250" spans="1:10">
      <c r="A250" s="25" t="s">
        <v>357</v>
      </c>
      <c r="B250" s="13" t="s">
        <v>68</v>
      </c>
      <c r="C250" s="25">
        <v>25</v>
      </c>
      <c r="D250" s="25"/>
      <c r="E250" s="40"/>
      <c r="F250" s="40"/>
      <c r="G250" s="52">
        <f t="shared" si="0"/>
        <v>25</v>
      </c>
      <c r="H250" s="3"/>
    </row>
    <row r="251" spans="1:10" ht="24.75">
      <c r="A251" s="27" t="s">
        <v>358</v>
      </c>
      <c r="B251" s="155" t="s">
        <v>183</v>
      </c>
      <c r="C251" s="25"/>
      <c r="D251" s="25"/>
      <c r="E251" s="25"/>
      <c r="F251" s="25"/>
      <c r="G251" s="52">
        <f t="shared" si="0"/>
        <v>0</v>
      </c>
      <c r="H251" s="3"/>
    </row>
    <row r="252" spans="1:10" ht="15">
      <c r="B252" s="207"/>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pageSetup orientation="portrait" r:id="rId2"/>
  <legacyDrawing r:id="rId3"/>
</worksheet>
</file>

<file path=xl/worksheets/sheet12.xml><?xml version="1.0" encoding="utf-8"?>
<worksheet xmlns="http://schemas.openxmlformats.org/spreadsheetml/2006/main" xmlns:r="http://schemas.openxmlformats.org/officeDocument/2006/relationships">
  <dimension ref="A1:J252"/>
  <sheetViews>
    <sheetView topLeftCell="A11" workbookViewId="0">
      <selection activeCell="C231" sqref="C231"/>
    </sheetView>
  </sheetViews>
  <sheetFormatPr defaultRowHeight="12.75"/>
  <cols>
    <col min="1" max="1" width="11.28515625" customWidth="1"/>
    <col min="2" max="2" width="60.28515625" customWidth="1"/>
    <col min="3" max="3" width="11.28515625" customWidth="1"/>
    <col min="4" max="4" width="10.7109375" customWidth="1"/>
    <col min="5" max="5" width="7.7109375" customWidth="1"/>
    <col min="6" max="6" width="6.28515625" customWidth="1"/>
    <col min="7" max="7" width="12.140625" customWidth="1"/>
    <col min="8" max="8" width="9.140625" customWidth="1"/>
  </cols>
  <sheetData>
    <row r="1" spans="1:8" ht="18">
      <c r="A1" s="65"/>
      <c r="B1" s="66" t="s">
        <v>241</v>
      </c>
      <c r="C1" s="66"/>
      <c r="D1" s="162" t="s">
        <v>393</v>
      </c>
      <c r="E1" s="67"/>
      <c r="F1" s="67"/>
      <c r="G1" s="66"/>
      <c r="H1" s="172"/>
    </row>
    <row r="2" spans="1:8">
      <c r="A2" s="69"/>
      <c r="B2" s="172"/>
      <c r="C2" s="69"/>
      <c r="D2" s="69"/>
      <c r="E2" s="69"/>
      <c r="F2" s="69"/>
      <c r="G2" s="172"/>
      <c r="H2" s="172"/>
    </row>
    <row r="3" spans="1:8" ht="15.75">
      <c r="A3" s="70" t="s">
        <v>161</v>
      </c>
      <c r="B3" s="194" t="s">
        <v>436</v>
      </c>
      <c r="C3" s="72"/>
      <c r="D3" s="73" t="s">
        <v>185</v>
      </c>
      <c r="E3" s="72"/>
      <c r="F3" s="72"/>
      <c r="G3" s="172"/>
      <c r="H3" s="172"/>
    </row>
    <row r="4" spans="1:8">
      <c r="A4" s="69"/>
      <c r="B4" s="172"/>
      <c r="C4" s="69"/>
      <c r="D4" s="69"/>
      <c r="E4" s="69"/>
      <c r="F4" s="69"/>
      <c r="G4" s="172"/>
      <c r="H4" s="172"/>
    </row>
    <row r="5" spans="1:8" ht="12.75" customHeight="1">
      <c r="A5" s="1231" t="s">
        <v>189</v>
      </c>
      <c r="B5" s="71" t="s">
        <v>437</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71" t="s">
        <v>438</v>
      </c>
      <c r="C7" s="72"/>
      <c r="D7" s="72"/>
      <c r="E7" s="72"/>
      <c r="F7" s="72"/>
      <c r="G7" s="172"/>
      <c r="H7" s="172"/>
    </row>
    <row r="8" spans="1:8">
      <c r="A8" s="1231"/>
      <c r="B8" s="172"/>
      <c r="C8" s="72"/>
      <c r="D8" s="75" t="s">
        <v>188</v>
      </c>
      <c r="E8" s="69"/>
      <c r="F8" s="69"/>
      <c r="G8" s="172"/>
      <c r="H8" s="172"/>
    </row>
    <row r="9" spans="1:8">
      <c r="A9" s="76" t="s">
        <v>190</v>
      </c>
      <c r="B9" s="71" t="s">
        <v>439</v>
      </c>
      <c r="C9" s="72"/>
      <c r="D9" s="69"/>
      <c r="E9" s="69"/>
      <c r="F9" s="69"/>
      <c r="G9" s="172"/>
      <c r="H9" s="172"/>
    </row>
    <row r="10" spans="1:8">
      <c r="A10" s="67"/>
      <c r="B10" s="172"/>
      <c r="C10" s="69"/>
      <c r="D10" s="77" t="s">
        <v>242</v>
      </c>
      <c r="E10" s="69"/>
      <c r="F10" s="78"/>
      <c r="G10" s="172"/>
      <c r="H10" s="172"/>
    </row>
    <row r="11" spans="1:8">
      <c r="A11" s="79" t="s">
        <v>162</v>
      </c>
      <c r="B11" s="71" t="s">
        <v>440</v>
      </c>
      <c r="C11" s="72"/>
      <c r="D11" s="69"/>
      <c r="E11" s="69"/>
      <c r="F11" s="69"/>
      <c r="G11" s="172"/>
      <c r="H11" s="172"/>
    </row>
    <row r="12" spans="1:8">
      <c r="A12" s="69"/>
      <c r="B12" s="172"/>
      <c r="C12" s="69"/>
      <c r="D12" s="67"/>
      <c r="E12" s="69"/>
      <c r="F12" s="69"/>
      <c r="G12" s="172"/>
      <c r="H12" s="172"/>
    </row>
    <row r="13" spans="1:8">
      <c r="A13" s="1232" t="s">
        <v>163</v>
      </c>
      <c r="B13" s="71" t="s">
        <v>441</v>
      </c>
      <c r="C13" s="72"/>
      <c r="D13" s="72"/>
      <c r="E13" s="69"/>
      <c r="F13" s="69"/>
      <c r="G13" s="172"/>
      <c r="H13" s="172"/>
    </row>
    <row r="14" spans="1:8">
      <c r="A14" s="1232"/>
      <c r="B14" s="172"/>
      <c r="C14" s="172"/>
      <c r="D14" s="172"/>
      <c r="E14" s="172"/>
      <c r="F14" s="172"/>
      <c r="G14" s="172"/>
      <c r="H14" s="172"/>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v>1</v>
      </c>
      <c r="D18" s="1218"/>
      <c r="E18" s="1218"/>
      <c r="F18" s="84"/>
      <c r="G18" s="85"/>
      <c r="H18" s="72"/>
    </row>
    <row r="19" spans="1:8" ht="25.5">
      <c r="A19" s="11" t="s">
        <v>111</v>
      </c>
      <c r="B19" s="86" t="s">
        <v>228</v>
      </c>
      <c r="C19" s="8">
        <v>0</v>
      </c>
      <c r="D19" s="1218"/>
      <c r="E19" s="1218"/>
      <c r="F19" s="84"/>
      <c r="G19" s="85"/>
      <c r="H19" s="72"/>
    </row>
    <row r="20" spans="1:8" ht="25.5">
      <c r="A20" s="11" t="s">
        <v>112</v>
      </c>
      <c r="B20" s="86" t="s">
        <v>229</v>
      </c>
      <c r="C20" s="8">
        <v>1</v>
      </c>
      <c r="D20" s="1218"/>
      <c r="E20" s="1218"/>
      <c r="F20" s="84"/>
      <c r="G20" s="85"/>
      <c r="H20" s="72"/>
    </row>
    <row r="21" spans="1:8" ht="25.5">
      <c r="A21" s="11" t="s">
        <v>113</v>
      </c>
      <c r="B21" s="87" t="s">
        <v>230</v>
      </c>
      <c r="C21" s="8">
        <v>1</v>
      </c>
      <c r="D21" s="1218"/>
      <c r="E21" s="1218"/>
      <c r="F21" s="84"/>
      <c r="G21" s="85"/>
      <c r="H21" s="72"/>
    </row>
    <row r="22" spans="1:8" ht="25.5">
      <c r="A22" s="11" t="s">
        <v>114</v>
      </c>
      <c r="B22" s="87" t="s">
        <v>231</v>
      </c>
      <c r="C22" s="14">
        <v>1</v>
      </c>
      <c r="D22" s="1218"/>
      <c r="E22" s="1218"/>
      <c r="F22" s="84"/>
      <c r="G22" s="85"/>
      <c r="H22" s="72"/>
    </row>
    <row r="23" spans="1:8">
      <c r="A23" s="1222"/>
      <c r="B23" s="1223"/>
      <c r="C23" s="1224"/>
      <c r="D23" s="1224"/>
      <c r="E23" s="1224"/>
      <c r="F23" s="1224"/>
      <c r="G23" s="1225"/>
      <c r="H23" s="80"/>
    </row>
    <row r="24" spans="1:8" ht="13.5">
      <c r="A24" s="1226" t="s">
        <v>360</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4</v>
      </c>
      <c r="D26" s="1218"/>
      <c r="E26" s="1218"/>
      <c r="F26" s="84"/>
      <c r="G26" s="85"/>
      <c r="H26" s="72"/>
    </row>
    <row r="27" spans="1:8">
      <c r="A27" s="8" t="s">
        <v>3</v>
      </c>
      <c r="B27" s="12" t="s">
        <v>4</v>
      </c>
      <c r="C27" s="15">
        <v>3</v>
      </c>
      <c r="D27" s="1218"/>
      <c r="E27" s="1218"/>
      <c r="F27" s="84"/>
      <c r="G27" s="85"/>
      <c r="H27" s="72"/>
    </row>
    <row r="28" spans="1:8">
      <c r="A28" s="11" t="s">
        <v>5</v>
      </c>
      <c r="B28" s="12" t="s">
        <v>144</v>
      </c>
      <c r="C28" s="15">
        <v>1</v>
      </c>
      <c r="D28" s="1218"/>
      <c r="E28" s="1218"/>
      <c r="F28" s="84"/>
      <c r="G28" s="85"/>
      <c r="H28" s="72"/>
    </row>
    <row r="29" spans="1:8">
      <c r="A29" s="8" t="s">
        <v>145</v>
      </c>
      <c r="B29" s="12" t="s">
        <v>146</v>
      </c>
      <c r="C29" s="15">
        <v>0</v>
      </c>
      <c r="D29" s="1220"/>
      <c r="E29" s="1229"/>
      <c r="F29" s="174"/>
      <c r="G29" s="85"/>
      <c r="H29" s="72"/>
    </row>
    <row r="30" spans="1:8">
      <c r="A30" s="8" t="s">
        <v>244</v>
      </c>
      <c r="B30" s="12" t="s">
        <v>245</v>
      </c>
      <c r="C30" s="15">
        <v>0</v>
      </c>
      <c r="D30" s="88"/>
      <c r="E30" s="174"/>
      <c r="F30" s="174"/>
      <c r="G30" s="85"/>
      <c r="H30" s="72"/>
    </row>
    <row r="31" spans="1:8">
      <c r="A31" s="5">
        <v>3</v>
      </c>
      <c r="B31" s="7" t="s">
        <v>14</v>
      </c>
      <c r="C31" s="50">
        <f>SUM(C32:C34)</f>
        <v>1.5</v>
      </c>
      <c r="D31" s="1218"/>
      <c r="E31" s="1218"/>
      <c r="F31" s="84"/>
      <c r="G31" s="85"/>
      <c r="H31" s="72"/>
    </row>
    <row r="32" spans="1:8">
      <c r="A32" s="8" t="s">
        <v>6</v>
      </c>
      <c r="B32" s="12" t="s">
        <v>7</v>
      </c>
      <c r="C32" s="15">
        <v>1.5</v>
      </c>
      <c r="D32" s="1218"/>
      <c r="E32" s="1218"/>
      <c r="F32" s="84"/>
      <c r="G32" s="85"/>
      <c r="H32" s="72"/>
    </row>
    <row r="33" spans="1:8">
      <c r="A33" s="11" t="s">
        <v>12</v>
      </c>
      <c r="B33" s="12" t="s">
        <v>15</v>
      </c>
      <c r="C33" s="15">
        <v>0</v>
      </c>
      <c r="D33" s="1218"/>
      <c r="E33" s="1218"/>
      <c r="F33" s="84"/>
      <c r="G33" s="85"/>
      <c r="H33" s="72"/>
    </row>
    <row r="34" spans="1:8">
      <c r="A34" s="11" t="s">
        <v>13</v>
      </c>
      <c r="B34" s="12" t="s">
        <v>148</v>
      </c>
      <c r="C34" s="15">
        <v>0</v>
      </c>
      <c r="D34" s="1218"/>
      <c r="E34" s="1218"/>
      <c r="F34" s="84"/>
      <c r="G34" s="85"/>
      <c r="H34" s="72"/>
    </row>
    <row r="35" spans="1:8">
      <c r="A35" s="5">
        <v>4</v>
      </c>
      <c r="B35" s="16" t="s">
        <v>17</v>
      </c>
      <c r="C35" s="15">
        <v>0</v>
      </c>
      <c r="D35" s="1218"/>
      <c r="E35" s="1218"/>
      <c r="F35" s="84"/>
      <c r="G35" s="85"/>
      <c r="H35" s="72"/>
    </row>
    <row r="36" spans="1:8">
      <c r="A36" s="11" t="s">
        <v>16</v>
      </c>
      <c r="B36" s="12" t="s">
        <v>84</v>
      </c>
      <c r="C36" s="15">
        <v>0</v>
      </c>
      <c r="D36" s="1218"/>
      <c r="E36" s="1218"/>
      <c r="F36" s="84"/>
      <c r="G36" s="85"/>
      <c r="H36" s="72"/>
    </row>
    <row r="37" spans="1:8" ht="25.5">
      <c r="A37" s="5">
        <v>5</v>
      </c>
      <c r="B37" s="90" t="s">
        <v>26</v>
      </c>
      <c r="C37" s="15">
        <v>2</v>
      </c>
      <c r="D37" s="1218"/>
      <c r="E37" s="1218"/>
      <c r="F37" s="84"/>
      <c r="G37" s="85"/>
      <c r="H37" s="72"/>
    </row>
    <row r="38" spans="1:8">
      <c r="A38" s="17" t="s">
        <v>147</v>
      </c>
      <c r="B38" s="16" t="s">
        <v>150</v>
      </c>
      <c r="C38" s="15">
        <v>0</v>
      </c>
      <c r="D38" s="1219"/>
      <c r="E38" s="1219"/>
      <c r="F38" s="81"/>
      <c r="G38" s="85"/>
      <c r="H38" s="72"/>
    </row>
    <row r="39" spans="1:8">
      <c r="A39" s="5">
        <v>6</v>
      </c>
      <c r="B39" s="7" t="s">
        <v>85</v>
      </c>
      <c r="C39" s="50">
        <f>SUM(C26+C31+C35+C37)</f>
        <v>7.5</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93">
        <f>SUM(C45:C47)</f>
        <v>259591</v>
      </c>
      <c r="D44" s="1218"/>
      <c r="E44" s="1218"/>
      <c r="F44" s="84"/>
      <c r="G44" s="85"/>
      <c r="H44" s="72"/>
    </row>
    <row r="45" spans="1:8">
      <c r="A45" s="8" t="s">
        <v>11</v>
      </c>
      <c r="B45" s="12" t="s">
        <v>19</v>
      </c>
      <c r="C45" s="55">
        <v>172692</v>
      </c>
      <c r="D45" s="1218"/>
      <c r="E45" s="1218"/>
      <c r="F45" s="84"/>
      <c r="G45" s="85"/>
      <c r="H45" s="72"/>
    </row>
    <row r="46" spans="1:8">
      <c r="A46" s="11" t="s">
        <v>18</v>
      </c>
      <c r="B46" s="12" t="s">
        <v>151</v>
      </c>
      <c r="C46" s="55">
        <v>86899</v>
      </c>
      <c r="D46" s="1218"/>
      <c r="E46" s="1218"/>
      <c r="F46" s="84"/>
      <c r="G46" s="85"/>
      <c r="H46" s="72"/>
    </row>
    <row r="47" spans="1:8">
      <c r="A47" s="8" t="s">
        <v>247</v>
      </c>
      <c r="B47" s="12" t="s">
        <v>248</v>
      </c>
      <c r="C47" s="59">
        <v>0</v>
      </c>
      <c r="D47" s="84"/>
      <c r="E47" s="84"/>
      <c r="F47" s="84"/>
      <c r="G47" s="85"/>
      <c r="H47" s="72"/>
    </row>
    <row r="48" spans="1:8">
      <c r="A48" s="5">
        <v>8</v>
      </c>
      <c r="B48" s="7" t="s">
        <v>109</v>
      </c>
      <c r="C48" s="93">
        <f>SUM(C49:C51)</f>
        <v>50496</v>
      </c>
      <c r="D48" s="1218"/>
      <c r="E48" s="1218"/>
      <c r="F48" s="84"/>
      <c r="G48" s="85"/>
      <c r="H48" s="72"/>
    </row>
    <row r="49" spans="1:8">
      <c r="A49" s="19" t="s">
        <v>20</v>
      </c>
      <c r="B49" s="20" t="s">
        <v>23</v>
      </c>
      <c r="C49" s="55">
        <v>50496</v>
      </c>
      <c r="D49" s="1218"/>
      <c r="E49" s="1218"/>
      <c r="F49" s="84"/>
      <c r="G49" s="85"/>
      <c r="H49" s="72"/>
    </row>
    <row r="50" spans="1:8">
      <c r="A50" s="11" t="s">
        <v>21</v>
      </c>
      <c r="B50" s="12" t="s">
        <v>24</v>
      </c>
      <c r="C50" s="55">
        <v>0</v>
      </c>
      <c r="D50" s="1218"/>
      <c r="E50" s="1218"/>
      <c r="F50" s="84"/>
      <c r="G50" s="85"/>
      <c r="H50" s="72"/>
    </row>
    <row r="51" spans="1:8">
      <c r="A51" s="11" t="s">
        <v>22</v>
      </c>
      <c r="B51" s="12" t="s">
        <v>25</v>
      </c>
      <c r="C51" s="55">
        <v>0</v>
      </c>
      <c r="D51" s="1218"/>
      <c r="E51" s="1218"/>
      <c r="F51" s="84"/>
      <c r="G51" s="85"/>
      <c r="H51" s="72"/>
    </row>
    <row r="52" spans="1:8" ht="25.5">
      <c r="A52" s="21">
        <v>9</v>
      </c>
      <c r="B52" s="22" t="s">
        <v>27</v>
      </c>
      <c r="C52" s="56">
        <v>21754</v>
      </c>
      <c r="D52" s="1218"/>
      <c r="E52" s="1218"/>
      <c r="F52" s="84"/>
      <c r="G52" s="85"/>
      <c r="H52" s="72"/>
    </row>
    <row r="53" spans="1:8">
      <c r="A53" s="21">
        <v>10</v>
      </c>
      <c r="B53" s="22" t="s">
        <v>249</v>
      </c>
      <c r="C53" s="56">
        <f>SUM(C44+C48+C52)</f>
        <v>331841</v>
      </c>
      <c r="D53" s="88"/>
      <c r="E53" s="94"/>
      <c r="F53" s="94"/>
      <c r="G53" s="85"/>
      <c r="H53" s="72"/>
    </row>
    <row r="54" spans="1:8">
      <c r="A54" s="21"/>
      <c r="B54" s="22"/>
      <c r="C54" s="55"/>
      <c r="D54" s="1220"/>
      <c r="E54" s="1221"/>
      <c r="F54" s="94"/>
      <c r="G54" s="85"/>
      <c r="H54" s="72"/>
    </row>
    <row r="55" spans="1:8">
      <c r="A55" s="95"/>
      <c r="B55" s="92" t="s">
        <v>250</v>
      </c>
      <c r="C55" s="96"/>
      <c r="D55" s="1219"/>
      <c r="E55" s="1218"/>
      <c r="F55" s="84"/>
      <c r="G55" s="85"/>
      <c r="H55" s="72"/>
    </row>
    <row r="56" spans="1:8" ht="25.5">
      <c r="A56" s="97">
        <v>11</v>
      </c>
      <c r="B56" s="98" t="s">
        <v>251</v>
      </c>
      <c r="C56" s="99">
        <f>SUM(C57:C59)</f>
        <v>37893</v>
      </c>
      <c r="D56" s="1218"/>
      <c r="E56" s="1218"/>
      <c r="F56" s="84"/>
      <c r="G56" s="85"/>
      <c r="H56" s="72"/>
    </row>
    <row r="57" spans="1:8">
      <c r="A57" s="100" t="s">
        <v>30</v>
      </c>
      <c r="B57" s="101" t="s">
        <v>28</v>
      </c>
      <c r="C57" s="55">
        <v>37893</v>
      </c>
      <c r="D57" s="1218"/>
      <c r="E57" s="1218"/>
      <c r="F57" s="84"/>
      <c r="G57" s="85"/>
      <c r="H57" s="72"/>
    </row>
    <row r="58" spans="1:8">
      <c r="A58" s="100" t="s">
        <v>32</v>
      </c>
      <c r="B58" s="101" t="s">
        <v>363</v>
      </c>
      <c r="C58" s="55">
        <v>0</v>
      </c>
      <c r="D58" s="1218"/>
      <c r="E58" s="1218"/>
      <c r="F58" s="84"/>
      <c r="G58" s="85"/>
      <c r="H58" s="72"/>
    </row>
    <row r="59" spans="1:8">
      <c r="A59" s="100" t="s">
        <v>34</v>
      </c>
      <c r="B59" s="101" t="s">
        <v>29</v>
      </c>
      <c r="C59" s="55">
        <v>0</v>
      </c>
      <c r="D59" s="1218"/>
      <c r="E59" s="1218"/>
      <c r="F59" s="84"/>
      <c r="G59" s="85"/>
      <c r="H59" s="72"/>
    </row>
    <row r="60" spans="1:8" ht="38.25">
      <c r="A60" s="97">
        <v>12</v>
      </c>
      <c r="B60" s="98" t="s">
        <v>252</v>
      </c>
      <c r="C60" s="57">
        <f>SUM(C61+C62+C64+C65+C66)</f>
        <v>70367</v>
      </c>
      <c r="D60" s="1218"/>
      <c r="E60" s="1218"/>
      <c r="F60" s="84"/>
      <c r="G60" s="85"/>
      <c r="H60" s="72"/>
    </row>
    <row r="61" spans="1:8">
      <c r="A61" s="100" t="s">
        <v>36</v>
      </c>
      <c r="B61" s="101" t="s">
        <v>31</v>
      </c>
      <c r="C61" s="55">
        <v>49694</v>
      </c>
      <c r="D61" s="1218"/>
      <c r="E61" s="1218"/>
      <c r="F61" s="84"/>
      <c r="G61" s="85"/>
      <c r="H61" s="72"/>
    </row>
    <row r="62" spans="1:8">
      <c r="A62" s="100" t="s">
        <v>38</v>
      </c>
      <c r="B62" s="101" t="s">
        <v>206</v>
      </c>
      <c r="C62" s="55">
        <v>20673</v>
      </c>
      <c r="D62" s="1218"/>
      <c r="E62" s="1218"/>
      <c r="F62" s="84"/>
      <c r="G62" s="85"/>
      <c r="H62" s="72"/>
    </row>
    <row r="63" spans="1:8">
      <c r="A63" s="100" t="s">
        <v>253</v>
      </c>
      <c r="B63" s="101" t="s">
        <v>33</v>
      </c>
      <c r="C63" s="55">
        <v>0</v>
      </c>
      <c r="D63" s="1218"/>
      <c r="E63" s="1218"/>
      <c r="F63" s="84"/>
      <c r="G63" s="85"/>
      <c r="H63" s="72"/>
    </row>
    <row r="64" spans="1:8">
      <c r="A64" s="100" t="s">
        <v>39</v>
      </c>
      <c r="B64" s="101" t="s">
        <v>35</v>
      </c>
      <c r="C64" s="55">
        <v>0</v>
      </c>
      <c r="D64" s="1218"/>
      <c r="E64" s="1218"/>
      <c r="F64" s="84"/>
      <c r="G64" s="85"/>
      <c r="H64" s="72"/>
    </row>
    <row r="65" spans="1:8">
      <c r="A65" s="102" t="s">
        <v>254</v>
      </c>
      <c r="B65" s="101" t="s">
        <v>153</v>
      </c>
      <c r="C65" s="55">
        <v>0</v>
      </c>
      <c r="D65" s="1218"/>
      <c r="E65" s="1218"/>
      <c r="F65" s="84"/>
      <c r="G65" s="85"/>
      <c r="H65" s="72"/>
    </row>
    <row r="66" spans="1:8">
      <c r="A66" s="102" t="s">
        <v>255</v>
      </c>
      <c r="B66" s="103" t="s">
        <v>216</v>
      </c>
      <c r="C66" s="55">
        <v>0</v>
      </c>
      <c r="D66" s="1218"/>
      <c r="E66" s="1218"/>
      <c r="F66" s="84"/>
      <c r="G66" s="85"/>
      <c r="H66" s="72"/>
    </row>
    <row r="67" spans="1:8">
      <c r="A67" s="97">
        <v>13</v>
      </c>
      <c r="B67" s="104" t="s">
        <v>256</v>
      </c>
      <c r="C67" s="57">
        <f>SUM(C68:C69)</f>
        <v>1859</v>
      </c>
      <c r="D67" s="1218"/>
      <c r="E67" s="1218"/>
      <c r="F67" s="84"/>
      <c r="G67" s="85"/>
      <c r="H67" s="72"/>
    </row>
    <row r="68" spans="1:8">
      <c r="A68" s="100" t="s">
        <v>156</v>
      </c>
      <c r="B68" s="103" t="s">
        <v>40</v>
      </c>
      <c r="C68" s="55">
        <v>0</v>
      </c>
      <c r="D68" s="1218"/>
      <c r="E68" s="1218"/>
      <c r="F68" s="84"/>
      <c r="G68" s="85"/>
      <c r="H68" s="72"/>
    </row>
    <row r="69" spans="1:8">
      <c r="A69" s="100" t="s">
        <v>157</v>
      </c>
      <c r="B69" s="103" t="s">
        <v>41</v>
      </c>
      <c r="C69" s="55">
        <v>1859</v>
      </c>
      <c r="D69" s="1218"/>
      <c r="E69" s="1218"/>
      <c r="F69" s="84"/>
      <c r="G69" s="85"/>
      <c r="H69" s="72"/>
    </row>
    <row r="70" spans="1:8">
      <c r="A70" s="95">
        <v>14</v>
      </c>
      <c r="B70" s="82" t="s">
        <v>257</v>
      </c>
      <c r="C70" s="57">
        <f>SUM(C71:C74)</f>
        <v>200</v>
      </c>
      <c r="D70" s="1218"/>
      <c r="E70" s="1218"/>
      <c r="F70" s="84"/>
      <c r="G70" s="85"/>
      <c r="H70" s="72"/>
    </row>
    <row r="71" spans="1:8">
      <c r="A71" s="105" t="s">
        <v>42</v>
      </c>
      <c r="B71" s="106" t="s">
        <v>155</v>
      </c>
      <c r="C71" s="55">
        <v>200</v>
      </c>
      <c r="D71" s="1219"/>
      <c r="E71" s="1219"/>
      <c r="F71" s="81"/>
      <c r="G71" s="85"/>
      <c r="H71" s="72"/>
    </row>
    <row r="72" spans="1:8">
      <c r="A72" s="105" t="s">
        <v>43</v>
      </c>
      <c r="B72" s="107" t="s">
        <v>258</v>
      </c>
      <c r="C72" s="55">
        <v>0</v>
      </c>
      <c r="D72" s="81"/>
      <c r="E72" s="81"/>
      <c r="F72" s="81"/>
      <c r="G72" s="85"/>
      <c r="H72" s="72"/>
    </row>
    <row r="73" spans="1:8">
      <c r="A73" s="105" t="s">
        <v>45</v>
      </c>
      <c r="B73" s="108" t="s">
        <v>44</v>
      </c>
      <c r="C73" s="55">
        <v>0</v>
      </c>
      <c r="D73" s="1218"/>
      <c r="E73" s="1218"/>
      <c r="F73" s="84"/>
      <c r="G73" s="85"/>
      <c r="H73" s="72"/>
    </row>
    <row r="74" spans="1:8">
      <c r="A74" s="105" t="s">
        <v>154</v>
      </c>
      <c r="B74" s="108" t="s">
        <v>46</v>
      </c>
      <c r="C74" s="55">
        <v>0</v>
      </c>
      <c r="D74" s="1218"/>
      <c r="E74" s="1218"/>
      <c r="F74" s="84"/>
      <c r="G74" s="85"/>
      <c r="H74" s="72"/>
    </row>
    <row r="75" spans="1:8">
      <c r="A75" s="109" t="s">
        <v>259</v>
      </c>
      <c r="B75" s="108" t="s">
        <v>104</v>
      </c>
      <c r="C75" s="55">
        <v>0</v>
      </c>
      <c r="D75" s="1218"/>
      <c r="E75" s="1218"/>
      <c r="F75" s="84"/>
      <c r="G75" s="85"/>
      <c r="H75" s="72"/>
    </row>
    <row r="76" spans="1:8">
      <c r="A76" s="110">
        <v>15</v>
      </c>
      <c r="B76" s="82" t="s">
        <v>260</v>
      </c>
      <c r="C76" s="58">
        <f>SUM(C56,C60,C67,C70)</f>
        <v>110319</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c r="A80" s="95">
        <v>16</v>
      </c>
      <c r="B80" s="112" t="s">
        <v>262</v>
      </c>
      <c r="C80" s="59">
        <f>SUM(C81:C85)</f>
        <v>0</v>
      </c>
      <c r="D80" s="84"/>
      <c r="E80" s="84"/>
      <c r="F80" s="84"/>
      <c r="G80" s="85"/>
      <c r="H80" s="72"/>
    </row>
    <row r="81" spans="1:8">
      <c r="A81" s="109" t="s">
        <v>263</v>
      </c>
      <c r="B81" s="85" t="s">
        <v>264</v>
      </c>
      <c r="C81" s="55">
        <v>0</v>
      </c>
      <c r="D81" s="84"/>
      <c r="E81" s="84"/>
      <c r="F81" s="84"/>
      <c r="G81" s="85"/>
      <c r="H81" s="72"/>
    </row>
    <row r="82" spans="1:8" ht="25.5">
      <c r="A82" s="109" t="s">
        <v>192</v>
      </c>
      <c r="B82" s="113" t="s">
        <v>207</v>
      </c>
      <c r="C82" s="55">
        <v>0</v>
      </c>
      <c r="D82" s="84"/>
      <c r="E82" s="84"/>
      <c r="F82" s="84"/>
      <c r="G82" s="85"/>
      <c r="H82" s="72"/>
    </row>
    <row r="83" spans="1:8">
      <c r="A83" s="109" t="s">
        <v>193</v>
      </c>
      <c r="B83" s="85" t="s">
        <v>158</v>
      </c>
      <c r="C83" s="55">
        <v>0</v>
      </c>
      <c r="D83" s="84"/>
      <c r="E83" s="84"/>
      <c r="F83" s="84"/>
      <c r="G83" s="85"/>
      <c r="H83" s="72"/>
    </row>
    <row r="84" spans="1:8">
      <c r="A84" s="109" t="s">
        <v>265</v>
      </c>
      <c r="B84" s="85" t="s">
        <v>159</v>
      </c>
      <c r="C84" s="55">
        <v>0</v>
      </c>
      <c r="D84" s="84"/>
      <c r="E84" s="84"/>
      <c r="F84" s="84"/>
      <c r="G84" s="85"/>
      <c r="H84" s="72"/>
    </row>
    <row r="85" spans="1:8">
      <c r="A85" s="109" t="s">
        <v>266</v>
      </c>
      <c r="B85" s="85" t="s">
        <v>160</v>
      </c>
      <c r="C85" s="55">
        <v>0</v>
      </c>
      <c r="D85" s="84"/>
      <c r="E85" s="84"/>
      <c r="F85" s="84"/>
      <c r="G85" s="85"/>
      <c r="H85" s="72"/>
    </row>
    <row r="86" spans="1:8">
      <c r="A86" s="110">
        <v>17</v>
      </c>
      <c r="B86" s="111" t="s">
        <v>191</v>
      </c>
      <c r="C86" s="59">
        <v>0</v>
      </c>
      <c r="D86" s="1218"/>
      <c r="E86" s="1218"/>
      <c r="F86" s="84"/>
      <c r="G86" s="82"/>
      <c r="H86" s="83"/>
    </row>
    <row r="87" spans="1:8">
      <c r="A87" s="110">
        <v>18</v>
      </c>
      <c r="B87" s="82" t="s">
        <v>267</v>
      </c>
      <c r="C87" s="57">
        <f>SUM(C88:C90)</f>
        <v>1781</v>
      </c>
      <c r="D87" s="1218"/>
      <c r="E87" s="1218"/>
      <c r="F87" s="84"/>
      <c r="G87" s="85"/>
      <c r="H87" s="72"/>
    </row>
    <row r="88" spans="1:8">
      <c r="A88" s="105" t="s">
        <v>268</v>
      </c>
      <c r="B88" s="114" t="s">
        <v>47</v>
      </c>
      <c r="C88" s="55">
        <v>0</v>
      </c>
      <c r="D88" s="1218"/>
      <c r="E88" s="1218"/>
      <c r="F88" s="84"/>
      <c r="G88" s="85"/>
      <c r="H88" s="72"/>
    </row>
    <row r="89" spans="1:8">
      <c r="A89" s="105" t="s">
        <v>269</v>
      </c>
      <c r="B89" s="114" t="s">
        <v>48</v>
      </c>
      <c r="C89" s="55">
        <v>1781</v>
      </c>
      <c r="D89" s="1218"/>
      <c r="E89" s="1218"/>
      <c r="F89" s="84"/>
      <c r="G89" s="85"/>
      <c r="H89" s="72"/>
    </row>
    <row r="90" spans="1:8">
      <c r="A90" s="105" t="s">
        <v>270</v>
      </c>
      <c r="B90" s="114" t="s">
        <v>105</v>
      </c>
      <c r="C90" s="96">
        <v>0</v>
      </c>
      <c r="D90" s="1218"/>
      <c r="E90" s="1218"/>
      <c r="F90" s="84"/>
      <c r="G90" s="85"/>
      <c r="H90" s="72"/>
    </row>
    <row r="91" spans="1:8">
      <c r="A91" s="110">
        <v>19</v>
      </c>
      <c r="B91" s="85" t="s">
        <v>205</v>
      </c>
      <c r="C91" s="96">
        <v>0</v>
      </c>
      <c r="D91" s="1218"/>
      <c r="E91" s="1218"/>
      <c r="F91" s="84"/>
      <c r="G91" s="85"/>
      <c r="H91" s="72"/>
    </row>
    <row r="92" spans="1:8" ht="38.25">
      <c r="A92" s="110">
        <v>20</v>
      </c>
      <c r="B92" s="113" t="s">
        <v>106</v>
      </c>
      <c r="C92" s="96">
        <v>2215</v>
      </c>
      <c r="D92" s="1218"/>
      <c r="E92" s="1218"/>
      <c r="F92" s="84"/>
      <c r="G92" s="85"/>
      <c r="H92" s="72"/>
    </row>
    <row r="93" spans="1:8">
      <c r="A93" s="110">
        <v>21</v>
      </c>
      <c r="B93" s="85" t="s">
        <v>103</v>
      </c>
      <c r="C93" s="96">
        <v>1700</v>
      </c>
      <c r="D93" s="1218"/>
      <c r="E93" s="1218"/>
      <c r="F93" s="84"/>
      <c r="G93" s="85"/>
      <c r="H93" s="72"/>
    </row>
    <row r="94" spans="1:8" ht="25.5">
      <c r="A94" s="110">
        <v>22</v>
      </c>
      <c r="B94" s="113" t="s">
        <v>107</v>
      </c>
      <c r="C94" s="115">
        <v>5740</v>
      </c>
      <c r="D94" s="1218"/>
      <c r="E94" s="1218"/>
      <c r="F94" s="116"/>
      <c r="G94" s="117"/>
      <c r="H94" s="80"/>
    </row>
    <row r="95" spans="1:8" ht="25.5">
      <c r="A95" s="110">
        <v>23</v>
      </c>
      <c r="B95" s="113" t="s">
        <v>271</v>
      </c>
      <c r="C95" s="118">
        <f>SUM(C53,C76,C80,C86,C87,C91,C92,C93,C94)</f>
        <v>453596</v>
      </c>
      <c r="D95" s="1218"/>
      <c r="E95" s="1218"/>
      <c r="F95" s="84"/>
      <c r="G95" s="85"/>
      <c r="H95" s="72"/>
    </row>
    <row r="96" spans="1:8">
      <c r="A96" s="109" t="s">
        <v>108</v>
      </c>
      <c r="B96" s="114" t="s">
        <v>49</v>
      </c>
      <c r="C96" s="96">
        <v>0</v>
      </c>
      <c r="D96" s="1218"/>
      <c r="E96" s="1218"/>
      <c r="F96" s="84"/>
      <c r="G96" s="85"/>
      <c r="H96" s="72"/>
    </row>
    <row r="97" spans="1:8" ht="15">
      <c r="A97" s="110">
        <v>24</v>
      </c>
      <c r="B97" s="85" t="s">
        <v>272</v>
      </c>
      <c r="C97" s="119">
        <f>SUM(C95,C96)</f>
        <v>453596</v>
      </c>
      <c r="D97" s="1218"/>
      <c r="E97" s="1218"/>
      <c r="F97" s="84"/>
      <c r="G97" s="85"/>
      <c r="H97" s="72"/>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1824</v>
      </c>
      <c r="D103" s="51">
        <f>SUM(D104,D107:D110)</f>
        <v>101</v>
      </c>
      <c r="E103" s="34">
        <f>SUM(E104,E107:E110)</f>
        <v>41135</v>
      </c>
      <c r="F103" s="34"/>
      <c r="G103" s="10"/>
      <c r="H103" s="3"/>
    </row>
    <row r="104" spans="1:8">
      <c r="A104" s="25" t="s">
        <v>91</v>
      </c>
      <c r="B104" s="13" t="s">
        <v>53</v>
      </c>
      <c r="C104" s="51">
        <v>1739</v>
      </c>
      <c r="D104" s="51">
        <v>101</v>
      </c>
      <c r="E104" s="34">
        <v>40508</v>
      </c>
      <c r="F104" s="34"/>
      <c r="G104" s="10"/>
      <c r="H104" s="3"/>
    </row>
    <row r="105" spans="1:8">
      <c r="A105" s="25" t="s">
        <v>194</v>
      </c>
      <c r="B105" s="35" t="s">
        <v>54</v>
      </c>
      <c r="C105" s="34">
        <v>1263</v>
      </c>
      <c r="D105" s="25">
        <v>0</v>
      </c>
      <c r="E105" s="34" t="s">
        <v>201</v>
      </c>
      <c r="F105" s="34"/>
      <c r="G105" s="10"/>
      <c r="H105" s="3"/>
    </row>
    <row r="106" spans="1:8">
      <c r="A106" s="25" t="s">
        <v>195</v>
      </c>
      <c r="B106" s="35" t="s">
        <v>55</v>
      </c>
      <c r="C106" s="34">
        <v>476</v>
      </c>
      <c r="D106" s="25">
        <v>0</v>
      </c>
      <c r="E106" s="34" t="s">
        <v>201</v>
      </c>
      <c r="F106" s="34"/>
      <c r="G106" s="10"/>
      <c r="H106" s="3"/>
    </row>
    <row r="107" spans="1:8">
      <c r="A107" s="25" t="s">
        <v>93</v>
      </c>
      <c r="B107" s="13" t="s">
        <v>56</v>
      </c>
      <c r="C107" s="34">
        <v>85</v>
      </c>
      <c r="D107" s="34">
        <v>0</v>
      </c>
      <c r="E107" s="34">
        <v>552</v>
      </c>
      <c r="F107" s="34"/>
      <c r="G107" s="10"/>
      <c r="H107" s="3"/>
    </row>
    <row r="108" spans="1:8">
      <c r="A108" s="25" t="s">
        <v>275</v>
      </c>
      <c r="B108" s="13" t="s">
        <v>57</v>
      </c>
      <c r="C108" s="34">
        <v>0</v>
      </c>
      <c r="D108" s="34">
        <v>0</v>
      </c>
      <c r="E108" s="34">
        <v>0</v>
      </c>
      <c r="F108" s="34"/>
      <c r="G108" s="10"/>
      <c r="H108" s="3"/>
    </row>
    <row r="109" spans="1:8">
      <c r="A109" s="25" t="s">
        <v>276</v>
      </c>
      <c r="B109" s="13" t="s">
        <v>58</v>
      </c>
      <c r="C109" s="34">
        <v>0</v>
      </c>
      <c r="D109" s="34">
        <v>0</v>
      </c>
      <c r="E109" s="34">
        <v>75</v>
      </c>
      <c r="F109" s="34"/>
      <c r="G109" s="10"/>
      <c r="H109" s="3"/>
    </row>
    <row r="110" spans="1:8">
      <c r="A110" s="27" t="s">
        <v>277</v>
      </c>
      <c r="B110" s="13" t="s">
        <v>139</v>
      </c>
      <c r="C110" s="52">
        <v>0</v>
      </c>
      <c r="D110" s="51">
        <v>0</v>
      </c>
      <c r="E110" s="34">
        <v>0</v>
      </c>
      <c r="F110" s="34"/>
      <c r="G110" s="10"/>
      <c r="H110" s="3"/>
    </row>
    <row r="111" spans="1:8">
      <c r="A111" s="30">
        <v>26</v>
      </c>
      <c r="B111" s="18" t="s">
        <v>278</v>
      </c>
      <c r="C111" s="34">
        <f>SUM(C103,C112)</f>
        <v>1921</v>
      </c>
      <c r="D111" s="34"/>
      <c r="E111" s="34">
        <f>SUM(E103,E112)</f>
        <v>48139</v>
      </c>
      <c r="F111" s="34"/>
      <c r="G111" s="10"/>
      <c r="H111" s="3"/>
    </row>
    <row r="112" spans="1:8">
      <c r="A112" s="25" t="s">
        <v>92</v>
      </c>
      <c r="B112" s="13" t="s">
        <v>59</v>
      </c>
      <c r="C112" s="34">
        <v>97</v>
      </c>
      <c r="D112" s="34">
        <v>1778</v>
      </c>
      <c r="E112" s="34">
        <v>7004</v>
      </c>
      <c r="F112" s="34"/>
      <c r="G112" s="10"/>
      <c r="H112" s="3"/>
    </row>
    <row r="113" spans="1:8">
      <c r="A113" s="27" t="s">
        <v>94</v>
      </c>
      <c r="B113" s="13" t="s">
        <v>164</v>
      </c>
      <c r="C113" s="34">
        <v>0</v>
      </c>
      <c r="D113" s="34">
        <v>0</v>
      </c>
      <c r="E113" s="34">
        <v>0</v>
      </c>
      <c r="F113" s="34"/>
      <c r="G113" s="10"/>
      <c r="H113" s="3"/>
    </row>
    <row r="114" spans="1:8">
      <c r="A114" s="25"/>
      <c r="B114" s="13"/>
      <c r="C114" s="34"/>
      <c r="D114" s="34"/>
      <c r="E114" s="34"/>
      <c r="F114" s="34"/>
      <c r="G114" s="10"/>
      <c r="H114" s="3"/>
    </row>
    <row r="115" spans="1:8" ht="38.25">
      <c r="A115" s="36">
        <v>27</v>
      </c>
      <c r="B115" s="33" t="s">
        <v>279</v>
      </c>
      <c r="C115" s="51">
        <f>SUM(C116+C119)</f>
        <v>67144</v>
      </c>
      <c r="D115" s="51">
        <f>SUM(D116+D119)</f>
        <v>0</v>
      </c>
      <c r="E115" s="34">
        <f>SUM(E116,E119)</f>
        <v>67144</v>
      </c>
      <c r="F115" s="34"/>
      <c r="G115" s="10"/>
      <c r="H115" s="3"/>
    </row>
    <row r="116" spans="1:8" ht="25.5">
      <c r="A116" s="30" t="s">
        <v>196</v>
      </c>
      <c r="B116" s="126" t="s">
        <v>280</v>
      </c>
      <c r="C116" s="52">
        <f>SUM(C117,C118)</f>
        <v>67121</v>
      </c>
      <c r="D116" s="52">
        <f>SUM(D117:D118)</f>
        <v>0</v>
      </c>
      <c r="E116" s="25">
        <f>SUM(E117,E118)</f>
        <v>67121</v>
      </c>
      <c r="F116" s="25"/>
      <c r="G116" s="10"/>
      <c r="H116" s="3"/>
    </row>
    <row r="117" spans="1:8">
      <c r="A117" s="25" t="s">
        <v>281</v>
      </c>
      <c r="B117" s="35" t="s">
        <v>124</v>
      </c>
      <c r="C117" s="25">
        <v>367</v>
      </c>
      <c r="D117" s="25">
        <v>0</v>
      </c>
      <c r="E117" s="25">
        <v>367</v>
      </c>
      <c r="F117" s="25"/>
      <c r="G117" s="10"/>
      <c r="H117" s="3"/>
    </row>
    <row r="118" spans="1:8">
      <c r="A118" s="25" t="s">
        <v>282</v>
      </c>
      <c r="B118" s="35" t="s">
        <v>125</v>
      </c>
      <c r="C118" s="25">
        <v>66754</v>
      </c>
      <c r="D118" s="25">
        <v>0</v>
      </c>
      <c r="E118" s="25">
        <v>66754</v>
      </c>
      <c r="F118" s="25"/>
      <c r="G118" s="10"/>
      <c r="H118" s="3"/>
    </row>
    <row r="119" spans="1:8" ht="25.5">
      <c r="A119" s="30" t="s">
        <v>283</v>
      </c>
      <c r="B119" s="126" t="s">
        <v>284</v>
      </c>
      <c r="C119" s="52">
        <f>SUM(C120:C122)</f>
        <v>23</v>
      </c>
      <c r="D119" s="52">
        <f>SUM(D120:D122)</f>
        <v>0</v>
      </c>
      <c r="E119" s="25">
        <f>SUM(E120:E122)</f>
        <v>23</v>
      </c>
      <c r="F119" s="25"/>
      <c r="G119" s="10"/>
      <c r="H119" s="3"/>
    </row>
    <row r="120" spans="1:8">
      <c r="A120" s="25" t="s">
        <v>285</v>
      </c>
      <c r="B120" s="35" t="s">
        <v>126</v>
      </c>
      <c r="C120" s="25">
        <v>23</v>
      </c>
      <c r="D120" s="25">
        <v>0</v>
      </c>
      <c r="E120" s="25">
        <v>23</v>
      </c>
      <c r="F120" s="25"/>
      <c r="G120" s="10"/>
      <c r="H120" s="3"/>
    </row>
    <row r="121" spans="1:8">
      <c r="A121" s="27" t="s">
        <v>286</v>
      </c>
      <c r="B121" s="35" t="s">
        <v>287</v>
      </c>
      <c r="C121" s="25">
        <v>0</v>
      </c>
      <c r="D121" s="25">
        <v>0</v>
      </c>
      <c r="E121" s="25">
        <v>0</v>
      </c>
      <c r="F121" s="25"/>
      <c r="G121" s="10"/>
      <c r="H121" s="3"/>
    </row>
    <row r="122" spans="1:8">
      <c r="A122" s="25" t="s">
        <v>288</v>
      </c>
      <c r="B122" s="35" t="s">
        <v>218</v>
      </c>
      <c r="C122" s="25">
        <v>0</v>
      </c>
      <c r="D122" s="25">
        <v>0</v>
      </c>
      <c r="E122" s="25">
        <v>0</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770</v>
      </c>
      <c r="D125" s="52">
        <f>SUM(D126:D127)</f>
        <v>0</v>
      </c>
      <c r="E125" s="25">
        <f>SUM(E126,E127)</f>
        <v>1104</v>
      </c>
      <c r="F125" s="25"/>
      <c r="G125" s="10"/>
      <c r="H125" s="3"/>
    </row>
    <row r="126" spans="1:8">
      <c r="A126" s="25" t="s">
        <v>127</v>
      </c>
      <c r="B126" s="24" t="s">
        <v>40</v>
      </c>
      <c r="C126" s="25">
        <v>0</v>
      </c>
      <c r="D126" s="25">
        <v>0</v>
      </c>
      <c r="E126" s="25">
        <v>6</v>
      </c>
      <c r="F126" s="25"/>
      <c r="G126" s="10"/>
      <c r="H126" s="3"/>
    </row>
    <row r="127" spans="1:8">
      <c r="A127" s="25" t="s">
        <v>129</v>
      </c>
      <c r="B127" s="24" t="s">
        <v>41</v>
      </c>
      <c r="C127" s="25">
        <v>770</v>
      </c>
      <c r="D127" s="25">
        <v>0</v>
      </c>
      <c r="E127" s="25">
        <v>1098</v>
      </c>
      <c r="F127" s="25"/>
      <c r="G127" s="10"/>
      <c r="H127" s="3"/>
    </row>
    <row r="128" spans="1:8">
      <c r="A128" s="25"/>
      <c r="C128" s="25"/>
      <c r="D128" s="25"/>
      <c r="E128" s="25"/>
      <c r="F128" s="25"/>
      <c r="G128" s="10"/>
      <c r="H128" s="3"/>
    </row>
    <row r="129" spans="1:8">
      <c r="A129" s="30">
        <v>29</v>
      </c>
      <c r="B129" s="6" t="s">
        <v>290</v>
      </c>
      <c r="C129" s="25"/>
      <c r="D129" s="25"/>
      <c r="E129" s="25"/>
      <c r="F129" s="25"/>
      <c r="G129" s="10"/>
      <c r="H129" s="3"/>
    </row>
    <row r="130" spans="1:8">
      <c r="A130" s="30" t="s">
        <v>165</v>
      </c>
      <c r="B130" s="6" t="s">
        <v>37</v>
      </c>
      <c r="C130" s="25">
        <v>2</v>
      </c>
      <c r="D130" s="25">
        <v>0</v>
      </c>
      <c r="E130" s="25">
        <v>151</v>
      </c>
      <c r="F130" s="25"/>
      <c r="G130" s="10"/>
      <c r="H130" s="3"/>
    </row>
    <row r="131" spans="1:8">
      <c r="A131" s="30" t="s">
        <v>166</v>
      </c>
      <c r="B131" s="6" t="s">
        <v>79</v>
      </c>
      <c r="C131" s="25">
        <v>0</v>
      </c>
      <c r="D131" s="25">
        <v>0</v>
      </c>
      <c r="E131" s="25">
        <v>29</v>
      </c>
      <c r="F131" s="25"/>
      <c r="G131" s="10"/>
      <c r="H131" s="3"/>
    </row>
    <row r="132" spans="1:8">
      <c r="A132" s="30" t="s">
        <v>291</v>
      </c>
      <c r="B132" s="29" t="s">
        <v>222</v>
      </c>
      <c r="C132" s="30">
        <v>0</v>
      </c>
      <c r="D132" s="30">
        <v>0</v>
      </c>
      <c r="E132" s="30">
        <v>566</v>
      </c>
      <c r="F132" s="30"/>
      <c r="G132" s="6"/>
      <c r="H132" s="122"/>
    </row>
    <row r="133" spans="1:8">
      <c r="A133" s="30" t="s">
        <v>292</v>
      </c>
      <c r="B133" s="29" t="s">
        <v>293</v>
      </c>
      <c r="C133" s="30">
        <v>0</v>
      </c>
      <c r="D133" s="30">
        <v>0</v>
      </c>
      <c r="E133" s="30">
        <v>20862</v>
      </c>
      <c r="F133" s="30"/>
      <c r="G133" s="6"/>
      <c r="H133" s="122"/>
    </row>
    <row r="134" spans="1:8">
      <c r="A134" s="30" t="s">
        <v>294</v>
      </c>
      <c r="B134" s="29" t="s">
        <v>223</v>
      </c>
      <c r="C134" s="30">
        <v>0</v>
      </c>
      <c r="D134" s="30">
        <v>0</v>
      </c>
      <c r="E134" s="30">
        <v>20862</v>
      </c>
      <c r="F134" s="30"/>
      <c r="G134" s="6"/>
      <c r="H134" s="122"/>
    </row>
    <row r="135" spans="1:8">
      <c r="A135" s="30" t="s">
        <v>295</v>
      </c>
      <c r="B135" s="37" t="s">
        <v>224</v>
      </c>
      <c r="C135" s="30">
        <v>0</v>
      </c>
      <c r="D135" s="30">
        <v>0</v>
      </c>
      <c r="E135" s="30">
        <v>0</v>
      </c>
      <c r="F135" s="30"/>
      <c r="G135" s="6"/>
      <c r="H135" s="122"/>
    </row>
    <row r="136" spans="1:8">
      <c r="A136" s="30" t="s">
        <v>296</v>
      </c>
      <c r="B136" s="37" t="s">
        <v>225</v>
      </c>
      <c r="C136" s="30">
        <v>0</v>
      </c>
      <c r="D136" s="30">
        <v>0</v>
      </c>
      <c r="E136" s="30">
        <v>0</v>
      </c>
      <c r="F136" s="30"/>
      <c r="G136" s="6"/>
      <c r="H136" s="122"/>
    </row>
    <row r="137" spans="1:8">
      <c r="A137" s="25"/>
      <c r="B137" s="6" t="s">
        <v>297</v>
      </c>
      <c r="C137" s="25"/>
      <c r="D137" s="25"/>
      <c r="E137" s="25"/>
      <c r="F137" s="25"/>
      <c r="G137" s="10"/>
      <c r="H137" s="3"/>
    </row>
    <row r="138" spans="1:8">
      <c r="A138" s="38" t="s">
        <v>298</v>
      </c>
      <c r="B138" s="37" t="s">
        <v>197</v>
      </c>
      <c r="C138" s="30">
        <v>3</v>
      </c>
      <c r="D138" s="30"/>
      <c r="E138" s="30">
        <v>3</v>
      </c>
      <c r="F138" s="30"/>
      <c r="G138" s="6"/>
      <c r="H138" s="122"/>
    </row>
    <row r="139" spans="1:8">
      <c r="A139" s="38" t="s">
        <v>299</v>
      </c>
      <c r="B139" s="37" t="s">
        <v>198</v>
      </c>
      <c r="C139" s="30">
        <v>60000</v>
      </c>
      <c r="D139" s="30"/>
      <c r="E139" s="30">
        <v>60000</v>
      </c>
      <c r="F139" s="30"/>
      <c r="G139" s="6" t="s">
        <v>442</v>
      </c>
      <c r="H139" s="122"/>
    </row>
    <row r="140" spans="1:8">
      <c r="A140" s="38" t="s">
        <v>300</v>
      </c>
      <c r="B140" s="37" t="s">
        <v>199</v>
      </c>
      <c r="C140" s="30">
        <v>100</v>
      </c>
      <c r="D140" s="30"/>
      <c r="E140" s="30">
        <v>100</v>
      </c>
      <c r="F140" s="30"/>
      <c r="G140" s="6" t="s">
        <v>443</v>
      </c>
      <c r="H140" s="122"/>
    </row>
    <row r="141" spans="1:8">
      <c r="A141" s="38" t="s">
        <v>301</v>
      </c>
      <c r="B141" s="37" t="s">
        <v>200</v>
      </c>
      <c r="C141" s="30" t="s">
        <v>201</v>
      </c>
      <c r="D141" s="30" t="s">
        <v>201</v>
      </c>
      <c r="E141" s="30" t="s">
        <v>201</v>
      </c>
      <c r="F141" s="30"/>
      <c r="G141" s="6"/>
      <c r="H141" s="122"/>
    </row>
    <row r="142" spans="1:8">
      <c r="A142" s="30" t="s">
        <v>302</v>
      </c>
      <c r="B142" s="37" t="s">
        <v>220</v>
      </c>
      <c r="C142" s="30">
        <v>0</v>
      </c>
      <c r="D142" s="30">
        <v>0</v>
      </c>
      <c r="E142" s="30">
        <v>0</v>
      </c>
      <c r="F142" s="30"/>
      <c r="G142" s="6"/>
      <c r="H142" s="122"/>
    </row>
    <row r="143" spans="1:8">
      <c r="A143" s="30" t="s">
        <v>303</v>
      </c>
      <c r="B143" s="37" t="s">
        <v>221</v>
      </c>
      <c r="C143" s="30">
        <v>0</v>
      </c>
      <c r="D143" s="30">
        <v>0</v>
      </c>
      <c r="E143" s="30">
        <v>0</v>
      </c>
      <c r="F143" s="30"/>
      <c r="G143" s="6"/>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65136</v>
      </c>
    </row>
    <row r="148" spans="1:9">
      <c r="A148" s="27" t="s">
        <v>169</v>
      </c>
      <c r="B148" s="10" t="s">
        <v>167</v>
      </c>
      <c r="C148" s="9">
        <v>63268</v>
      </c>
    </row>
    <row r="149" spans="1:9">
      <c r="A149" s="27" t="s">
        <v>171</v>
      </c>
      <c r="B149" s="10" t="s">
        <v>168</v>
      </c>
      <c r="C149" s="9">
        <v>1868</v>
      </c>
    </row>
    <row r="150" spans="1:9" ht="24.75">
      <c r="A150" s="38">
        <v>31</v>
      </c>
      <c r="B150" s="33" t="s">
        <v>305</v>
      </c>
      <c r="C150" s="9"/>
    </row>
    <row r="151" spans="1:9">
      <c r="A151" s="27" t="s">
        <v>137</v>
      </c>
      <c r="B151" s="10" t="s">
        <v>170</v>
      </c>
      <c r="C151" s="9">
        <v>761</v>
      </c>
    </row>
    <row r="152" spans="1:9">
      <c r="A152" s="27" t="s">
        <v>138</v>
      </c>
      <c r="B152" s="10" t="s">
        <v>172</v>
      </c>
      <c r="C152" s="9">
        <v>12545</v>
      </c>
    </row>
    <row r="153" spans="1:9">
      <c r="A153" s="27"/>
      <c r="B153" s="10"/>
      <c r="C153" s="9"/>
    </row>
    <row r="154" spans="1:9">
      <c r="A154" s="30"/>
      <c r="B154" s="1201" t="s">
        <v>306</v>
      </c>
      <c r="C154" s="1202"/>
    </row>
    <row r="155" spans="1:9">
      <c r="A155" s="30">
        <v>32</v>
      </c>
      <c r="B155" s="26" t="s">
        <v>307</v>
      </c>
      <c r="C155" s="52">
        <f>SUM(C156,C157,C163)</f>
        <v>8018</v>
      </c>
    </row>
    <row r="156" spans="1:9">
      <c r="A156" s="25" t="s">
        <v>308</v>
      </c>
      <c r="B156" s="28" t="s">
        <v>69</v>
      </c>
      <c r="C156" s="25">
        <v>3878</v>
      </c>
    </row>
    <row r="157" spans="1:9">
      <c r="A157" s="27" t="s">
        <v>309</v>
      </c>
      <c r="B157" s="28" t="s">
        <v>70</v>
      </c>
      <c r="C157" s="25">
        <v>193</v>
      </c>
    </row>
    <row r="158" spans="1:9">
      <c r="A158" s="30">
        <v>33</v>
      </c>
      <c r="B158" s="41" t="s">
        <v>71</v>
      </c>
      <c r="C158" s="25">
        <v>1467</v>
      </c>
    </row>
    <row r="159" spans="1:9">
      <c r="A159" s="30">
        <v>34</v>
      </c>
      <c r="B159" s="26" t="s">
        <v>310</v>
      </c>
      <c r="C159" s="52">
        <f>SUM(C160:C162)</f>
        <v>32</v>
      </c>
    </row>
    <row r="160" spans="1:9">
      <c r="A160" s="25" t="s">
        <v>173</v>
      </c>
      <c r="B160" s="28" t="s">
        <v>72</v>
      </c>
      <c r="C160" s="25">
        <v>0</v>
      </c>
    </row>
    <row r="161" spans="1:7">
      <c r="A161" s="27" t="s">
        <v>175</v>
      </c>
      <c r="B161" s="28" t="s">
        <v>73</v>
      </c>
      <c r="C161" s="25">
        <v>32</v>
      </c>
    </row>
    <row r="162" spans="1:7">
      <c r="A162" s="27" t="s">
        <v>177</v>
      </c>
      <c r="B162" s="28" t="s">
        <v>214</v>
      </c>
      <c r="C162" s="25">
        <v>0</v>
      </c>
    </row>
    <row r="163" spans="1:7">
      <c r="A163" s="23">
        <v>35</v>
      </c>
      <c r="B163" s="26" t="s">
        <v>311</v>
      </c>
      <c r="C163" s="52">
        <f>SUM(C164:C166)</f>
        <v>3947</v>
      </c>
    </row>
    <row r="164" spans="1:7">
      <c r="A164" s="39" t="s">
        <v>312</v>
      </c>
      <c r="B164" s="41" t="s">
        <v>174</v>
      </c>
      <c r="C164" s="25">
        <v>3947</v>
      </c>
    </row>
    <row r="165" spans="1:7">
      <c r="A165" s="27" t="s">
        <v>313</v>
      </c>
      <c r="B165" s="41" t="s">
        <v>176</v>
      </c>
      <c r="C165" s="25">
        <v>0</v>
      </c>
    </row>
    <row r="166" spans="1:7">
      <c r="A166" s="27" t="s">
        <v>314</v>
      </c>
      <c r="B166" s="41" t="s">
        <v>178</v>
      </c>
      <c r="C166" s="25">
        <v>0</v>
      </c>
    </row>
    <row r="168" spans="1:7">
      <c r="A168" s="23"/>
      <c r="B168" s="129" t="s">
        <v>87</v>
      </c>
      <c r="C168" s="127"/>
      <c r="D168" s="127"/>
      <c r="E168" s="130"/>
      <c r="F168" s="131"/>
    </row>
    <row r="169" spans="1:7">
      <c r="A169" s="23">
        <v>36</v>
      </c>
      <c r="B169" s="132" t="s">
        <v>74</v>
      </c>
      <c r="C169" s="133">
        <v>177</v>
      </c>
      <c r="D169" s="134"/>
      <c r="E169" s="46"/>
      <c r="F169" s="46"/>
      <c r="G169" s="135"/>
    </row>
    <row r="170" spans="1:7">
      <c r="A170" s="23">
        <v>37</v>
      </c>
      <c r="B170" s="41" t="s">
        <v>75</v>
      </c>
      <c r="C170" s="136">
        <v>10</v>
      </c>
      <c r="D170" s="134"/>
      <c r="E170" s="46"/>
      <c r="F170" s="46"/>
      <c r="G170" s="135"/>
    </row>
    <row r="171" spans="1:7">
      <c r="A171" s="23">
        <v>38</v>
      </c>
      <c r="B171" s="26" t="s">
        <v>315</v>
      </c>
      <c r="C171" s="54">
        <f>SUM(C172:C174)</f>
        <v>187</v>
      </c>
      <c r="D171" s="137"/>
      <c r="E171" s="138"/>
      <c r="F171" s="138"/>
      <c r="G171" s="138"/>
    </row>
    <row r="172" spans="1:7">
      <c r="A172" s="39" t="s">
        <v>118</v>
      </c>
      <c r="B172" s="28" t="s">
        <v>208</v>
      </c>
      <c r="C172" s="133">
        <v>83</v>
      </c>
      <c r="D172" s="134"/>
      <c r="E172" s="46"/>
      <c r="F172" s="46"/>
      <c r="G172" s="135"/>
    </row>
    <row r="173" spans="1:7">
      <c r="A173" s="39" t="s">
        <v>119</v>
      </c>
      <c r="B173" s="28" t="s">
        <v>209</v>
      </c>
      <c r="C173" s="40">
        <v>29</v>
      </c>
      <c r="D173" s="134"/>
      <c r="E173" s="46"/>
      <c r="F173" s="46"/>
      <c r="G173" s="135"/>
    </row>
    <row r="174" spans="1:7">
      <c r="A174" s="27" t="s">
        <v>120</v>
      </c>
      <c r="B174" s="28" t="s">
        <v>210</v>
      </c>
      <c r="C174" s="40">
        <v>75</v>
      </c>
      <c r="D174" s="134"/>
      <c r="E174" s="46"/>
      <c r="F174" s="46"/>
      <c r="G174" s="135"/>
    </row>
    <row r="175" spans="1:7">
      <c r="A175" s="23">
        <v>39</v>
      </c>
      <c r="B175" s="26" t="s">
        <v>316</v>
      </c>
      <c r="C175" s="54">
        <f>SUM(C176:C178)</f>
        <v>0</v>
      </c>
      <c r="D175" s="134"/>
      <c r="E175" s="46"/>
      <c r="F175" s="46"/>
      <c r="G175" s="135"/>
    </row>
    <row r="176" spans="1:7">
      <c r="A176" s="39" t="s">
        <v>317</v>
      </c>
      <c r="B176" s="28" t="s">
        <v>76</v>
      </c>
      <c r="C176" s="40">
        <v>0</v>
      </c>
      <c r="D176" s="134"/>
      <c r="E176" s="46"/>
      <c r="F176" s="46"/>
      <c r="G176" s="135"/>
    </row>
    <row r="177" spans="1:7">
      <c r="A177" s="39" t="s">
        <v>318</v>
      </c>
      <c r="B177" s="28" t="s">
        <v>77</v>
      </c>
      <c r="C177" s="40">
        <v>0</v>
      </c>
      <c r="D177" s="134"/>
      <c r="E177" s="46"/>
      <c r="F177" s="46"/>
      <c r="G177" s="135"/>
    </row>
    <row r="178" spans="1:7">
      <c r="A178" s="27" t="s">
        <v>319</v>
      </c>
      <c r="B178" s="28" t="s">
        <v>78</v>
      </c>
      <c r="C178" s="40">
        <v>0</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515</v>
      </c>
      <c r="D181" s="134"/>
      <c r="E181" s="46"/>
      <c r="F181" s="46"/>
      <c r="G181" s="135"/>
    </row>
    <row r="182" spans="1:7">
      <c r="A182" s="23">
        <v>41</v>
      </c>
      <c r="B182" s="41" t="s">
        <v>75</v>
      </c>
      <c r="C182" s="40">
        <v>20</v>
      </c>
      <c r="D182" s="134"/>
      <c r="E182" s="46"/>
      <c r="F182" s="46"/>
      <c r="G182" s="135"/>
    </row>
    <row r="183" spans="1:7">
      <c r="A183" s="23">
        <v>42</v>
      </c>
      <c r="B183" s="26" t="s">
        <v>320</v>
      </c>
      <c r="C183" s="54">
        <f>SUM(C184:C186)</f>
        <v>535</v>
      </c>
      <c r="D183" s="134"/>
      <c r="E183" s="46"/>
      <c r="F183" s="46"/>
      <c r="G183" s="135"/>
    </row>
    <row r="184" spans="1:7">
      <c r="A184" s="39" t="s">
        <v>96</v>
      </c>
      <c r="B184" s="28" t="s">
        <v>211</v>
      </c>
      <c r="C184" s="136">
        <v>312</v>
      </c>
      <c r="D184" s="134"/>
      <c r="E184" s="46"/>
      <c r="F184" s="46"/>
      <c r="G184" s="135"/>
    </row>
    <row r="185" spans="1:7">
      <c r="A185" s="39" t="s">
        <v>97</v>
      </c>
      <c r="B185" s="28" t="s">
        <v>212</v>
      </c>
      <c r="C185" s="40">
        <v>35</v>
      </c>
      <c r="D185" s="140"/>
      <c r="E185" s="141"/>
      <c r="F185" s="46"/>
      <c r="G185" s="135"/>
    </row>
    <row r="186" spans="1:7">
      <c r="A186" s="27" t="s">
        <v>98</v>
      </c>
      <c r="B186" s="28" t="s">
        <v>213</v>
      </c>
      <c r="C186" s="25">
        <v>188</v>
      </c>
      <c r="D186" s="25"/>
      <c r="E186" s="25"/>
      <c r="F186" s="46"/>
    </row>
    <row r="187" spans="1:7">
      <c r="A187" s="23">
        <v>43</v>
      </c>
      <c r="B187" s="26" t="s">
        <v>321</v>
      </c>
      <c r="C187" s="54">
        <f>SUM(C188:C190)</f>
        <v>0</v>
      </c>
      <c r="D187" s="25"/>
      <c r="E187" s="25"/>
      <c r="F187" s="46"/>
    </row>
    <row r="188" spans="1:7">
      <c r="A188" s="39" t="s">
        <v>100</v>
      </c>
      <c r="B188" s="28" t="s">
        <v>76</v>
      </c>
      <c r="C188" s="40">
        <v>0</v>
      </c>
      <c r="D188" s="25"/>
      <c r="E188" s="25"/>
      <c r="F188" s="46"/>
    </row>
    <row r="189" spans="1:7">
      <c r="A189" s="39" t="s">
        <v>101</v>
      </c>
      <c r="B189" s="28" t="s">
        <v>77</v>
      </c>
      <c r="C189" s="40">
        <v>0</v>
      </c>
      <c r="D189" s="25"/>
      <c r="E189" s="25"/>
      <c r="F189" s="46"/>
    </row>
    <row r="190" spans="1:7">
      <c r="A190" s="25" t="s">
        <v>102</v>
      </c>
      <c r="B190" s="13" t="s">
        <v>78</v>
      </c>
      <c r="C190" s="40">
        <v>0</v>
      </c>
      <c r="D190" s="25"/>
      <c r="E190" s="25"/>
      <c r="F190" s="46"/>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f>SUM(C195:C197)</f>
        <v>62</v>
      </c>
      <c r="D194" s="52">
        <f>SUM(D195:D197)</f>
        <v>0</v>
      </c>
      <c r="E194" s="52">
        <f>SUM(E195:E197)</f>
        <v>0</v>
      </c>
      <c r="F194" s="145"/>
    </row>
    <row r="195" spans="1:6">
      <c r="A195" s="25" t="s">
        <v>121</v>
      </c>
      <c r="B195" s="13" t="s">
        <v>181</v>
      </c>
      <c r="C195" s="40">
        <v>44</v>
      </c>
      <c r="D195" s="25">
        <v>0</v>
      </c>
      <c r="E195" s="25">
        <v>0</v>
      </c>
      <c r="F195" s="46"/>
    </row>
    <row r="196" spans="1:6">
      <c r="A196" s="25" t="s">
        <v>122</v>
      </c>
      <c r="B196" s="13" t="s">
        <v>182</v>
      </c>
      <c r="C196" s="40">
        <v>17</v>
      </c>
      <c r="D196" s="25">
        <v>0</v>
      </c>
      <c r="E196" s="25">
        <v>0</v>
      </c>
      <c r="F196" s="46"/>
    </row>
    <row r="197" spans="1:6">
      <c r="A197" s="27" t="s">
        <v>123</v>
      </c>
      <c r="B197" s="13" t="s">
        <v>180</v>
      </c>
      <c r="C197" s="40">
        <v>1</v>
      </c>
      <c r="D197" s="25">
        <v>0</v>
      </c>
      <c r="E197" s="25">
        <v>0</v>
      </c>
      <c r="F197" s="46"/>
    </row>
    <row r="198" spans="1:6">
      <c r="A198" s="30">
        <v>45</v>
      </c>
      <c r="B198" s="6" t="s">
        <v>324</v>
      </c>
      <c r="C198" s="54">
        <f>SUM(C199:C201)</f>
        <v>1009</v>
      </c>
      <c r="D198" s="52">
        <f>SUM(D199:D201)</f>
        <v>0</v>
      </c>
      <c r="E198" s="52">
        <f>SUM(E199:E201)</f>
        <v>0</v>
      </c>
      <c r="F198" s="145"/>
    </row>
    <row r="199" spans="1:6">
      <c r="A199" s="25" t="s">
        <v>325</v>
      </c>
      <c r="B199" s="13" t="s">
        <v>80</v>
      </c>
      <c r="C199" s="40">
        <v>1009</v>
      </c>
      <c r="D199" s="25">
        <v>0</v>
      </c>
      <c r="E199" s="25">
        <v>0</v>
      </c>
      <c r="F199" s="46"/>
    </row>
    <row r="200" spans="1:6">
      <c r="A200" s="25" t="s">
        <v>326</v>
      </c>
      <c r="B200" s="13" t="s">
        <v>60</v>
      </c>
      <c r="C200" s="40">
        <v>0</v>
      </c>
      <c r="D200" s="25">
        <v>0</v>
      </c>
      <c r="E200" s="25">
        <v>0</v>
      </c>
      <c r="F200" s="46"/>
    </row>
    <row r="201" spans="1:6">
      <c r="A201" s="27" t="s">
        <v>327</v>
      </c>
      <c r="B201" s="13" t="s">
        <v>180</v>
      </c>
      <c r="C201" s="40">
        <v>0</v>
      </c>
      <c r="D201" s="25">
        <v>0</v>
      </c>
      <c r="E201" s="25">
        <v>0</v>
      </c>
      <c r="F201" s="46"/>
    </row>
    <row r="202" spans="1:6">
      <c r="A202" s="44"/>
      <c r="B202" s="45"/>
      <c r="C202" s="46"/>
      <c r="D202" s="146"/>
      <c r="E202" s="147"/>
      <c r="F202" s="46"/>
    </row>
    <row r="203" spans="1:6">
      <c r="A203" s="30">
        <v>46</v>
      </c>
      <c r="B203" s="10" t="s">
        <v>203</v>
      </c>
      <c r="C203" s="40">
        <v>112</v>
      </c>
      <c r="D203" s="25">
        <v>0</v>
      </c>
      <c r="E203" s="25">
        <v>0</v>
      </c>
      <c r="F203" s="46"/>
    </row>
    <row r="204" spans="1:6">
      <c r="A204" s="30">
        <v>47</v>
      </c>
      <c r="B204" s="49" t="s">
        <v>204</v>
      </c>
      <c r="C204" s="40">
        <v>84</v>
      </c>
      <c r="D204" s="25">
        <v>0</v>
      </c>
      <c r="E204" s="25">
        <v>0</v>
      </c>
      <c r="F204" s="46"/>
    </row>
    <row r="205" spans="1:6">
      <c r="A205" s="30">
        <v>48</v>
      </c>
      <c r="B205" s="10" t="s">
        <v>179</v>
      </c>
      <c r="C205" s="40">
        <v>0</v>
      </c>
      <c r="D205" s="25">
        <v>0</v>
      </c>
      <c r="E205" s="25">
        <v>0</v>
      </c>
      <c r="F205" s="46"/>
    </row>
    <row r="206" spans="1:6">
      <c r="A206" s="30">
        <v>49</v>
      </c>
      <c r="B206" s="10" t="s">
        <v>61</v>
      </c>
      <c r="C206" s="40">
        <v>0</v>
      </c>
      <c r="D206" s="25">
        <v>0</v>
      </c>
      <c r="E206" s="25">
        <v>0</v>
      </c>
      <c r="F206" s="46"/>
    </row>
    <row r="207" spans="1:6">
      <c r="A207" s="148">
        <v>50</v>
      </c>
      <c r="B207" s="48" t="s">
        <v>202</v>
      </c>
      <c r="C207" s="47">
        <v>0</v>
      </c>
      <c r="D207" s="149">
        <v>0</v>
      </c>
      <c r="E207" s="150">
        <v>0</v>
      </c>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c r="D211" s="52"/>
      <c r="E211" s="9"/>
      <c r="F211" s="10"/>
    </row>
    <row r="212" spans="1:6" s="1" customFormat="1">
      <c r="A212" s="27" t="s">
        <v>329</v>
      </c>
      <c r="B212" s="13" t="s">
        <v>226</v>
      </c>
      <c r="C212" s="9">
        <v>4</v>
      </c>
      <c r="D212" s="9">
        <v>1</v>
      </c>
      <c r="E212" s="9">
        <v>24</v>
      </c>
      <c r="F212" s="10"/>
    </row>
    <row r="213" spans="1:6" s="1" customFormat="1">
      <c r="A213" s="27" t="s">
        <v>330</v>
      </c>
      <c r="B213" s="35" t="s">
        <v>128</v>
      </c>
      <c r="C213" s="9">
        <v>0</v>
      </c>
      <c r="D213" s="9">
        <v>0</v>
      </c>
      <c r="E213" s="9">
        <v>13</v>
      </c>
      <c r="F213" s="10"/>
    </row>
    <row r="214" spans="1:6" s="1" customFormat="1">
      <c r="A214" s="27" t="s">
        <v>331</v>
      </c>
      <c r="B214" s="13" t="s">
        <v>227</v>
      </c>
      <c r="C214" s="9">
        <v>1</v>
      </c>
      <c r="D214" s="9">
        <v>1</v>
      </c>
      <c r="E214" s="9">
        <v>4</v>
      </c>
      <c r="F214" s="10"/>
    </row>
    <row r="215" spans="1:6" s="1" customFormat="1">
      <c r="A215" s="27" t="s">
        <v>332</v>
      </c>
      <c r="B215" s="35" t="s">
        <v>130</v>
      </c>
      <c r="C215" s="9">
        <v>0</v>
      </c>
      <c r="D215" s="9">
        <v>0</v>
      </c>
      <c r="E215" s="9">
        <v>0</v>
      </c>
      <c r="F215" s="10"/>
    </row>
    <row r="216" spans="1:6" s="1" customFormat="1">
      <c r="A216" s="27" t="s">
        <v>333</v>
      </c>
      <c r="B216" s="13" t="s">
        <v>232</v>
      </c>
      <c r="C216" s="9">
        <v>0</v>
      </c>
      <c r="D216" s="9">
        <v>0</v>
      </c>
      <c r="E216" s="9">
        <v>0</v>
      </c>
      <c r="F216" s="10"/>
    </row>
    <row r="217" spans="1:6" s="1" customFormat="1">
      <c r="A217" s="27" t="s">
        <v>334</v>
      </c>
      <c r="B217" s="35" t="s">
        <v>131</v>
      </c>
      <c r="C217" s="9">
        <v>0</v>
      </c>
      <c r="D217" s="9">
        <v>0</v>
      </c>
      <c r="E217" s="9">
        <v>0</v>
      </c>
      <c r="F217" s="10"/>
    </row>
    <row r="218" spans="1:6" s="1" customFormat="1">
      <c r="A218" s="27" t="s">
        <v>335</v>
      </c>
      <c r="B218" s="13" t="s">
        <v>233</v>
      </c>
      <c r="C218" s="9">
        <v>3</v>
      </c>
      <c r="D218" s="9">
        <v>0</v>
      </c>
      <c r="E218" s="9">
        <v>3</v>
      </c>
      <c r="F218" s="10"/>
    </row>
    <row r="219" spans="1:6" s="1" customFormat="1">
      <c r="A219" s="27" t="s">
        <v>336</v>
      </c>
      <c r="B219" s="35" t="s">
        <v>132</v>
      </c>
      <c r="C219" s="9">
        <v>0</v>
      </c>
      <c r="D219" s="9">
        <v>0</v>
      </c>
      <c r="E219" s="9">
        <v>0</v>
      </c>
      <c r="F219" s="10"/>
    </row>
    <row r="220" spans="1:6" s="1" customFormat="1">
      <c r="A220" s="27" t="s">
        <v>337</v>
      </c>
      <c r="B220" s="13" t="s">
        <v>234</v>
      </c>
      <c r="C220" s="9">
        <v>0</v>
      </c>
      <c r="D220" s="9">
        <v>0</v>
      </c>
      <c r="E220" s="9">
        <v>3</v>
      </c>
      <c r="F220" s="10"/>
    </row>
    <row r="221" spans="1:6" s="1" customFormat="1">
      <c r="A221" s="27" t="s">
        <v>338</v>
      </c>
      <c r="B221" s="35" t="s">
        <v>133</v>
      </c>
      <c r="C221" s="9">
        <v>0</v>
      </c>
      <c r="D221" s="9">
        <v>0</v>
      </c>
      <c r="E221" s="9">
        <v>0</v>
      </c>
      <c r="F221" s="10"/>
    </row>
    <row r="222" spans="1:6" s="1" customFormat="1">
      <c r="A222" s="27" t="s">
        <v>339</v>
      </c>
      <c r="B222" s="13" t="s">
        <v>235</v>
      </c>
      <c r="C222" s="9">
        <v>0</v>
      </c>
      <c r="D222" s="9">
        <v>0</v>
      </c>
      <c r="E222" s="9">
        <v>1</v>
      </c>
      <c r="F222" s="10"/>
    </row>
    <row r="223" spans="1:6" s="1" customFormat="1">
      <c r="A223" s="27" t="s">
        <v>340</v>
      </c>
      <c r="B223" s="35" t="s">
        <v>134</v>
      </c>
      <c r="C223" s="9">
        <v>0</v>
      </c>
      <c r="D223" s="9">
        <v>0</v>
      </c>
      <c r="E223" s="9">
        <v>0</v>
      </c>
      <c r="F223" s="10"/>
    </row>
    <row r="224" spans="1:6" s="1" customFormat="1">
      <c r="A224" s="27" t="s">
        <v>341</v>
      </c>
      <c r="B224" s="13" t="s">
        <v>236</v>
      </c>
      <c r="C224" s="9">
        <v>0</v>
      </c>
      <c r="D224" s="9">
        <v>0</v>
      </c>
      <c r="E224" s="9">
        <v>0</v>
      </c>
      <c r="F224" s="10"/>
    </row>
    <row r="225" spans="1:8" s="1" customFormat="1">
      <c r="A225" s="27" t="s">
        <v>342</v>
      </c>
      <c r="B225" s="35" t="s">
        <v>135</v>
      </c>
      <c r="C225" s="9">
        <v>0</v>
      </c>
      <c r="D225" s="9">
        <v>0</v>
      </c>
      <c r="E225" s="9">
        <v>0</v>
      </c>
      <c r="F225" s="10"/>
    </row>
    <row r="226" spans="1:8" s="1" customFormat="1">
      <c r="A226" s="27" t="s">
        <v>343</v>
      </c>
      <c r="B226" s="13" t="s">
        <v>237</v>
      </c>
      <c r="C226" s="9">
        <v>0</v>
      </c>
      <c r="D226" s="9">
        <v>0</v>
      </c>
      <c r="E226" s="9">
        <v>0</v>
      </c>
      <c r="F226" s="10"/>
    </row>
    <row r="227" spans="1:8" s="1" customFormat="1" ht="25.5">
      <c r="A227" s="27" t="s">
        <v>344</v>
      </c>
      <c r="B227" s="152" t="s">
        <v>136</v>
      </c>
      <c r="C227" s="9">
        <v>0</v>
      </c>
      <c r="D227" s="9">
        <v>0</v>
      </c>
      <c r="E227" s="9">
        <v>0</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97">
        <v>300</v>
      </c>
      <c r="D230" s="47"/>
      <c r="E230" s="47"/>
      <c r="F230" s="47"/>
    </row>
    <row r="231" spans="1:8">
      <c r="A231" s="27" t="s">
        <v>347</v>
      </c>
      <c r="B231" s="152" t="s">
        <v>115</v>
      </c>
      <c r="C231" s="156">
        <v>0</v>
      </c>
      <c r="D231" s="47"/>
      <c r="E231" s="47"/>
      <c r="F231" s="47"/>
    </row>
    <row r="232" spans="1:8" ht="25.5">
      <c r="A232" s="27" t="s">
        <v>348</v>
      </c>
      <c r="B232" s="155" t="s">
        <v>239</v>
      </c>
      <c r="C232" s="156">
        <v>0</v>
      </c>
      <c r="D232" s="47"/>
      <c r="E232" s="47"/>
      <c r="F232" s="47"/>
    </row>
    <row r="233" spans="1:8">
      <c r="A233" s="27" t="s">
        <v>349</v>
      </c>
      <c r="B233" s="152" t="s">
        <v>116</v>
      </c>
      <c r="C233" s="156">
        <v>0</v>
      </c>
      <c r="D233" s="47"/>
      <c r="E233" s="47"/>
      <c r="F233" s="47"/>
    </row>
    <row r="234" spans="1:8" ht="25.5">
      <c r="A234" s="27" t="s">
        <v>350</v>
      </c>
      <c r="B234" s="155" t="s">
        <v>240</v>
      </c>
      <c r="C234" s="156">
        <v>0</v>
      </c>
      <c r="D234" s="47"/>
      <c r="E234" s="47"/>
      <c r="F234" s="47"/>
    </row>
    <row r="235" spans="1:8">
      <c r="A235" s="27" t="s">
        <v>351</v>
      </c>
      <c r="B235" s="152" t="s">
        <v>117</v>
      </c>
      <c r="C235" s="157">
        <v>0</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79</v>
      </c>
      <c r="D239" s="25"/>
      <c r="E239" s="40"/>
      <c r="F239" s="40"/>
      <c r="G239" s="10"/>
      <c r="H239" s="3"/>
    </row>
    <row r="240" spans="1:8">
      <c r="A240" s="30">
        <v>53</v>
      </c>
      <c r="B240" s="10" t="s">
        <v>63</v>
      </c>
      <c r="C240" s="25">
        <v>3600</v>
      </c>
      <c r="D240" s="25"/>
      <c r="E240" s="40"/>
      <c r="F240" s="40"/>
      <c r="G240" s="10"/>
      <c r="H240" s="3"/>
    </row>
    <row r="241" spans="1:10">
      <c r="A241" s="30">
        <v>54</v>
      </c>
      <c r="B241" s="10" t="s">
        <v>215</v>
      </c>
      <c r="C241" s="25">
        <v>65</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344</v>
      </c>
      <c r="D245" s="52">
        <f>SUM(D246:D251)</f>
        <v>1398</v>
      </c>
      <c r="E245" s="54">
        <f>SUM(E246:E251)</f>
        <v>591</v>
      </c>
      <c r="F245" s="54">
        <f>SUM(F246:F251)</f>
        <v>533</v>
      </c>
      <c r="G245" s="52">
        <f>SUM(C245:F245)</f>
        <v>2866</v>
      </c>
      <c r="H245" s="145"/>
    </row>
    <row r="246" spans="1:10">
      <c r="A246" s="25" t="s">
        <v>353</v>
      </c>
      <c r="B246" s="13" t="s">
        <v>64</v>
      </c>
      <c r="C246" s="25">
        <v>344</v>
      </c>
      <c r="D246" s="25">
        <v>1398</v>
      </c>
      <c r="E246" s="40">
        <v>591</v>
      </c>
      <c r="F246" s="40">
        <v>533</v>
      </c>
      <c r="G246" s="10">
        <v>2768</v>
      </c>
      <c r="H246" s="3"/>
      <c r="J246" s="25"/>
    </row>
    <row r="247" spans="1:10">
      <c r="A247" s="27" t="s">
        <v>354</v>
      </c>
      <c r="B247" s="13" t="s">
        <v>65</v>
      </c>
      <c r="C247" s="25"/>
      <c r="D247" s="25"/>
      <c r="E247" s="40"/>
      <c r="F247" s="40"/>
      <c r="G247" s="10"/>
      <c r="H247" s="3"/>
    </row>
    <row r="248" spans="1:10">
      <c r="A248" s="27" t="s">
        <v>355</v>
      </c>
      <c r="B248" s="13" t="s">
        <v>66</v>
      </c>
      <c r="C248" s="25"/>
      <c r="D248" s="25"/>
      <c r="E248" s="40"/>
      <c r="F248" s="40"/>
      <c r="G248" s="10"/>
      <c r="H248" s="3"/>
    </row>
    <row r="249" spans="1:10">
      <c r="A249" s="27" t="s">
        <v>356</v>
      </c>
      <c r="B249" s="13" t="s">
        <v>67</v>
      </c>
      <c r="C249" s="25"/>
      <c r="D249" s="25"/>
      <c r="E249" s="40"/>
      <c r="F249" s="40"/>
      <c r="G249" s="10"/>
      <c r="H249" s="3"/>
    </row>
    <row r="250" spans="1:10">
      <c r="A250" s="25" t="s">
        <v>357</v>
      </c>
      <c r="B250" s="13" t="s">
        <v>68</v>
      </c>
      <c r="C250" s="25"/>
      <c r="D250" s="25"/>
      <c r="E250" s="40"/>
      <c r="F250" s="40"/>
      <c r="G250" s="10"/>
      <c r="H250" s="3"/>
    </row>
    <row r="251" spans="1:10" ht="24.75">
      <c r="A251" s="27" t="s">
        <v>358</v>
      </c>
      <c r="B251" s="155" t="s">
        <v>183</v>
      </c>
      <c r="C251" s="25"/>
      <c r="D251" s="25"/>
      <c r="E251" s="40"/>
      <c r="F251" s="40"/>
      <c r="G251" s="10"/>
      <c r="H251" s="3"/>
    </row>
    <row r="252" spans="1:10" ht="15">
      <c r="B252" s="161"/>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dimension ref="A1:J252"/>
  <sheetViews>
    <sheetView topLeftCell="A42" workbookViewId="0">
      <selection activeCell="J51" sqref="J51"/>
    </sheetView>
  </sheetViews>
  <sheetFormatPr defaultRowHeight="12.75"/>
  <cols>
    <col min="1" max="1" width="11.28515625" customWidth="1"/>
    <col min="2" max="2" width="60.28515625" customWidth="1"/>
    <col min="3" max="3" width="11.28515625" customWidth="1"/>
    <col min="4" max="4" width="10.7109375" customWidth="1"/>
    <col min="5" max="5" width="7.7109375" customWidth="1"/>
    <col min="6" max="6" width="6.28515625" customWidth="1"/>
    <col min="7" max="7" width="12.140625" customWidth="1"/>
  </cols>
  <sheetData>
    <row r="1" spans="1:8" ht="18">
      <c r="A1" s="65"/>
      <c r="B1" s="66" t="s">
        <v>241</v>
      </c>
      <c r="C1" s="66"/>
      <c r="D1" s="162" t="s">
        <v>393</v>
      </c>
      <c r="E1" s="67"/>
      <c r="F1" s="67"/>
      <c r="G1" s="66"/>
      <c r="H1" s="172"/>
    </row>
    <row r="2" spans="1:8">
      <c r="A2" s="69"/>
      <c r="B2" s="172"/>
      <c r="C2" s="69"/>
      <c r="D2" s="69"/>
      <c r="E2" s="69"/>
      <c r="F2" s="69"/>
      <c r="G2" s="172"/>
      <c r="H2" s="172"/>
    </row>
    <row r="3" spans="1:8" ht="15.75">
      <c r="A3" s="70" t="s">
        <v>161</v>
      </c>
      <c r="B3" s="71" t="s">
        <v>598</v>
      </c>
      <c r="C3" s="72"/>
      <c r="D3" s="73" t="s">
        <v>185</v>
      </c>
      <c r="E3" s="72"/>
      <c r="F3" s="72"/>
      <c r="G3" s="172"/>
      <c r="H3" s="172"/>
    </row>
    <row r="4" spans="1:8">
      <c r="A4" s="69"/>
      <c r="B4" s="172"/>
      <c r="C4" s="69"/>
      <c r="D4" s="69"/>
      <c r="E4" s="69"/>
      <c r="F4" s="69"/>
      <c r="G4" s="172"/>
      <c r="H4" s="172"/>
    </row>
    <row r="5" spans="1:8" ht="12.75" customHeight="1">
      <c r="A5" s="1231" t="s">
        <v>189</v>
      </c>
      <c r="B5" s="71" t="s">
        <v>599</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71" t="s">
        <v>600</v>
      </c>
      <c r="C7" s="72"/>
      <c r="D7" s="72"/>
      <c r="E7" s="72"/>
      <c r="F7" s="72"/>
      <c r="G7" s="172"/>
      <c r="H7" s="172"/>
    </row>
    <row r="8" spans="1:8">
      <c r="A8" s="1231"/>
      <c r="B8" s="172"/>
      <c r="C8" s="72"/>
      <c r="D8" s="75" t="s">
        <v>188</v>
      </c>
      <c r="E8" s="69"/>
      <c r="F8" s="69"/>
      <c r="G8" s="172"/>
      <c r="H8" s="172"/>
    </row>
    <row r="9" spans="1:8">
      <c r="A9" s="76" t="s">
        <v>190</v>
      </c>
      <c r="B9" s="275" t="s">
        <v>601</v>
      </c>
      <c r="C9" s="72"/>
      <c r="D9" s="69"/>
      <c r="E9" s="69"/>
      <c r="F9" s="69"/>
      <c r="G9" s="172"/>
      <c r="H9" s="172"/>
    </row>
    <row r="10" spans="1:8">
      <c r="A10" s="67"/>
      <c r="B10" s="172"/>
      <c r="C10" s="69"/>
      <c r="D10" s="77" t="s">
        <v>242</v>
      </c>
      <c r="E10" s="69"/>
      <c r="F10" s="78"/>
      <c r="G10" s="172"/>
      <c r="H10" s="172"/>
    </row>
    <row r="11" spans="1:8">
      <c r="A11" s="79" t="s">
        <v>162</v>
      </c>
      <c r="B11" s="71" t="s">
        <v>602</v>
      </c>
      <c r="C11" s="72"/>
      <c r="D11" s="69"/>
      <c r="E11" s="69"/>
      <c r="F11" s="69"/>
      <c r="G11" s="172"/>
      <c r="H11" s="172"/>
    </row>
    <row r="12" spans="1:8">
      <c r="A12" s="69"/>
      <c r="B12" s="172"/>
      <c r="C12" s="69"/>
      <c r="D12" s="67"/>
      <c r="E12" s="69"/>
      <c r="F12" s="69"/>
      <c r="G12" s="172"/>
      <c r="H12" s="172"/>
    </row>
    <row r="13" spans="1:8">
      <c r="A13" s="1232" t="s">
        <v>163</v>
      </c>
      <c r="B13" s="71" t="s">
        <v>603</v>
      </c>
      <c r="C13" s="72"/>
      <c r="D13" s="72"/>
      <c r="E13" s="69"/>
      <c r="F13" s="69"/>
      <c r="G13" s="172"/>
      <c r="H13" s="172"/>
    </row>
    <row r="14" spans="1:8">
      <c r="A14" s="1232"/>
      <c r="B14" s="172"/>
      <c r="C14" s="172"/>
      <c r="D14" s="172"/>
      <c r="E14" s="172"/>
      <c r="F14" s="172"/>
      <c r="G14" s="172"/>
      <c r="H14" s="172"/>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c r="D18" s="1218"/>
      <c r="E18" s="1218"/>
      <c r="F18" s="84"/>
      <c r="G18" s="85"/>
      <c r="H18" s="72"/>
    </row>
    <row r="19" spans="1:8" ht="25.5">
      <c r="A19" s="11" t="s">
        <v>111</v>
      </c>
      <c r="B19" s="86" t="s">
        <v>228</v>
      </c>
      <c r="C19" s="8">
        <v>5</v>
      </c>
      <c r="D19" s="1218"/>
      <c r="E19" s="1218"/>
      <c r="F19" s="84"/>
      <c r="G19" s="85"/>
      <c r="H19" s="72"/>
    </row>
    <row r="20" spans="1:8" ht="25.5">
      <c r="A20" s="11" t="s">
        <v>112</v>
      </c>
      <c r="B20" s="86" t="s">
        <v>229</v>
      </c>
      <c r="C20" s="8">
        <v>12</v>
      </c>
      <c r="D20" s="1218"/>
      <c r="E20" s="1218"/>
      <c r="F20" s="84"/>
      <c r="G20" s="85"/>
      <c r="H20" s="72"/>
    </row>
    <row r="21" spans="1:8" ht="25.5">
      <c r="A21" s="11" t="s">
        <v>113</v>
      </c>
      <c r="B21" s="87" t="s">
        <v>230</v>
      </c>
      <c r="C21" s="8">
        <v>5</v>
      </c>
      <c r="D21" s="1218"/>
      <c r="E21" s="1218"/>
      <c r="F21" s="84"/>
      <c r="G21" s="85"/>
      <c r="H21" s="72"/>
    </row>
    <row r="22" spans="1:8" ht="25.5">
      <c r="A22" s="11" t="s">
        <v>114</v>
      </c>
      <c r="B22" s="87" t="s">
        <v>231</v>
      </c>
      <c r="C22" s="14">
        <v>7</v>
      </c>
      <c r="D22" s="1218"/>
      <c r="E22" s="1218"/>
      <c r="F22" s="84"/>
      <c r="G22" s="85"/>
      <c r="H22" s="72"/>
    </row>
    <row r="23" spans="1:8">
      <c r="A23" s="1222"/>
      <c r="B23" s="1223"/>
      <c r="C23" s="1224"/>
      <c r="D23" s="1224"/>
      <c r="E23" s="1224"/>
      <c r="F23" s="1224"/>
      <c r="G23" s="1225"/>
      <c r="H23" s="80"/>
    </row>
    <row r="24" spans="1:8" ht="13.5">
      <c r="A24" s="1226" t="s">
        <v>360</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7.84</v>
      </c>
      <c r="D26" s="1218"/>
      <c r="E26" s="1218"/>
      <c r="F26" s="84"/>
      <c r="G26" s="85"/>
      <c r="H26" s="72"/>
    </row>
    <row r="27" spans="1:8">
      <c r="A27" s="8" t="s">
        <v>3</v>
      </c>
      <c r="B27" s="12" t="s">
        <v>4</v>
      </c>
      <c r="C27" s="15">
        <v>6.84</v>
      </c>
      <c r="D27" s="1218"/>
      <c r="E27" s="1218"/>
      <c r="F27" s="84"/>
      <c r="G27" s="85"/>
      <c r="H27" s="72"/>
    </row>
    <row r="28" spans="1:8">
      <c r="A28" s="11" t="s">
        <v>5</v>
      </c>
      <c r="B28" s="12" t="s">
        <v>144</v>
      </c>
      <c r="C28" s="15">
        <v>1</v>
      </c>
      <c r="D28" s="1218"/>
      <c r="E28" s="1218"/>
      <c r="F28" s="84"/>
      <c r="G28" s="85"/>
      <c r="H28" s="72"/>
    </row>
    <row r="29" spans="1:8">
      <c r="A29" s="8" t="s">
        <v>145</v>
      </c>
      <c r="B29" s="12" t="s">
        <v>146</v>
      </c>
      <c r="C29" s="15">
        <v>0</v>
      </c>
      <c r="D29" s="1220"/>
      <c r="E29" s="1229"/>
      <c r="F29" s="174"/>
      <c r="G29" s="85"/>
      <c r="H29" s="72"/>
    </row>
    <row r="30" spans="1:8">
      <c r="A30" s="8" t="s">
        <v>244</v>
      </c>
      <c r="B30" s="12" t="s">
        <v>245</v>
      </c>
      <c r="C30" s="15">
        <v>0</v>
      </c>
      <c r="D30" s="88"/>
      <c r="E30" s="174"/>
      <c r="F30" s="174"/>
      <c r="G30" s="85"/>
      <c r="H30" s="72"/>
    </row>
    <row r="31" spans="1:8">
      <c r="A31" s="5">
        <v>3</v>
      </c>
      <c r="B31" s="7" t="s">
        <v>14</v>
      </c>
      <c r="C31" s="50">
        <f>SUM(C32:C34)</f>
        <v>7</v>
      </c>
      <c r="D31" s="1218"/>
      <c r="E31" s="1218"/>
      <c r="F31" s="84"/>
      <c r="G31" s="85"/>
      <c r="H31" s="72"/>
    </row>
    <row r="32" spans="1:8">
      <c r="A32" s="8" t="s">
        <v>6</v>
      </c>
      <c r="B32" s="12" t="s">
        <v>7</v>
      </c>
      <c r="C32" s="15">
        <v>5</v>
      </c>
      <c r="D32" s="1218"/>
      <c r="E32" s="1218"/>
      <c r="F32" s="84"/>
      <c r="G32" s="85"/>
      <c r="H32" s="72"/>
    </row>
    <row r="33" spans="1:8">
      <c r="A33" s="11" t="s">
        <v>12</v>
      </c>
      <c r="B33" s="12" t="s">
        <v>15</v>
      </c>
      <c r="C33" s="15">
        <v>1</v>
      </c>
      <c r="D33" s="1218"/>
      <c r="E33" s="1218"/>
      <c r="F33" s="84"/>
      <c r="G33" s="85"/>
      <c r="H33" s="72"/>
    </row>
    <row r="34" spans="1:8">
      <c r="A34" s="11" t="s">
        <v>13</v>
      </c>
      <c r="B34" s="12" t="s">
        <v>148</v>
      </c>
      <c r="C34" s="15">
        <v>1</v>
      </c>
      <c r="D34" s="1218"/>
      <c r="E34" s="1218"/>
      <c r="F34" s="84"/>
      <c r="G34" s="85"/>
      <c r="H34" s="72"/>
    </row>
    <row r="35" spans="1:8">
      <c r="A35" s="5">
        <v>4</v>
      </c>
      <c r="B35" s="16" t="s">
        <v>17</v>
      </c>
      <c r="C35" s="15"/>
      <c r="D35" s="1218"/>
      <c r="E35" s="1218"/>
      <c r="F35" s="84"/>
      <c r="G35" s="85"/>
      <c r="H35" s="72"/>
    </row>
    <row r="36" spans="1:8">
      <c r="A36" s="11" t="s">
        <v>16</v>
      </c>
      <c r="B36" s="12" t="s">
        <v>84</v>
      </c>
      <c r="C36" s="15">
        <v>0</v>
      </c>
      <c r="D36" s="1218"/>
      <c r="E36" s="1218"/>
      <c r="F36" s="84"/>
      <c r="G36" s="85"/>
      <c r="H36" s="72"/>
    </row>
    <row r="37" spans="1:8" ht="25.5">
      <c r="A37" s="5">
        <v>5</v>
      </c>
      <c r="B37" s="90" t="s">
        <v>26</v>
      </c>
      <c r="C37" s="15">
        <v>1.77</v>
      </c>
      <c r="D37" s="1218"/>
      <c r="E37" s="1218"/>
      <c r="F37" s="84"/>
      <c r="G37" s="85"/>
      <c r="H37" s="72"/>
    </row>
    <row r="38" spans="1:8">
      <c r="A38" s="17" t="s">
        <v>147</v>
      </c>
      <c r="B38" s="16" t="s">
        <v>150</v>
      </c>
      <c r="C38" s="276">
        <v>0.11700000000000001</v>
      </c>
      <c r="D38" s="1219"/>
      <c r="E38" s="1219"/>
      <c r="F38" s="81"/>
      <c r="G38" s="85"/>
      <c r="H38" s="72"/>
    </row>
    <row r="39" spans="1:8">
      <c r="A39" s="5">
        <v>6</v>
      </c>
      <c r="B39" s="7" t="s">
        <v>85</v>
      </c>
      <c r="C39" s="50">
        <f>SUM(C26+C31+C35+C37)</f>
        <v>16.61</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93">
        <f>SUM(C45:C47)</f>
        <v>628812</v>
      </c>
      <c r="D44" s="1218"/>
      <c r="E44" s="1218"/>
      <c r="F44" s="84"/>
      <c r="G44" s="85"/>
      <c r="H44" s="72"/>
    </row>
    <row r="45" spans="1:8">
      <c r="A45" s="8" t="s">
        <v>11</v>
      </c>
      <c r="B45" s="12" t="s">
        <v>19</v>
      </c>
      <c r="C45" s="55">
        <v>511546</v>
      </c>
      <c r="D45" s="1218"/>
      <c r="E45" s="1218"/>
      <c r="F45" s="84"/>
      <c r="G45" s="85"/>
      <c r="H45" s="72"/>
    </row>
    <row r="46" spans="1:8">
      <c r="A46" s="11" t="s">
        <v>18</v>
      </c>
      <c r="B46" s="12" t="s">
        <v>151</v>
      </c>
      <c r="C46" s="55">
        <v>117266</v>
      </c>
      <c r="D46" s="1218"/>
      <c r="E46" s="1218"/>
      <c r="F46" s="84"/>
      <c r="G46" s="85"/>
      <c r="H46" s="72"/>
    </row>
    <row r="47" spans="1:8">
      <c r="A47" s="8" t="s">
        <v>247</v>
      </c>
      <c r="B47" s="12" t="s">
        <v>248</v>
      </c>
      <c r="C47" s="59">
        <v>0</v>
      </c>
      <c r="D47" s="84"/>
      <c r="E47" s="84"/>
      <c r="F47" s="84"/>
      <c r="G47" s="85"/>
      <c r="H47" s="72"/>
    </row>
    <row r="48" spans="1:8">
      <c r="A48" s="5">
        <v>8</v>
      </c>
      <c r="B48" s="7" t="s">
        <v>109</v>
      </c>
      <c r="C48" s="93">
        <f>SUM(C49:C51)</f>
        <v>297963</v>
      </c>
      <c r="D48" s="1218"/>
      <c r="E48" s="1218"/>
      <c r="F48" s="84"/>
      <c r="G48" s="85"/>
      <c r="H48" s="1162">
        <f>SUM(C44,C48)</f>
        <v>926775</v>
      </c>
    </row>
    <row r="49" spans="1:8">
      <c r="A49" s="19" t="s">
        <v>20</v>
      </c>
      <c r="B49" s="20" t="s">
        <v>23</v>
      </c>
      <c r="C49" s="55">
        <v>205737</v>
      </c>
      <c r="D49" s="1218"/>
      <c r="E49" s="1218"/>
      <c r="F49" s="84"/>
      <c r="G49" s="85"/>
      <c r="H49" s="72"/>
    </row>
    <row r="50" spans="1:8">
      <c r="A50" s="11" t="s">
        <v>21</v>
      </c>
      <c r="B50" s="12" t="s">
        <v>24</v>
      </c>
      <c r="C50" s="55">
        <v>43330</v>
      </c>
      <c r="D50" s="1218"/>
      <c r="E50" s="1218"/>
      <c r="F50" s="84"/>
      <c r="G50" s="85"/>
      <c r="H50" s="72"/>
    </row>
    <row r="51" spans="1:8">
      <c r="A51" s="11" t="s">
        <v>22</v>
      </c>
      <c r="B51" s="12" t="s">
        <v>25</v>
      </c>
      <c r="C51" s="55">
        <v>48896</v>
      </c>
      <c r="D51" s="1218"/>
      <c r="E51" s="1218"/>
      <c r="F51" s="84"/>
      <c r="G51" s="85"/>
      <c r="H51" s="72"/>
    </row>
    <row r="52" spans="1:8" ht="25.5">
      <c r="A52" s="21">
        <v>9</v>
      </c>
      <c r="B52" s="22" t="s">
        <v>27</v>
      </c>
      <c r="C52" s="56">
        <v>24380</v>
      </c>
      <c r="D52" s="1218"/>
      <c r="E52" s="1218"/>
      <c r="F52" s="84"/>
      <c r="G52" s="85"/>
      <c r="H52" s="72"/>
    </row>
    <row r="53" spans="1:8">
      <c r="A53" s="21">
        <v>10</v>
      </c>
      <c r="B53" s="22" t="s">
        <v>249</v>
      </c>
      <c r="C53" s="56">
        <f>SUM(C44+C48+C52)</f>
        <v>951155</v>
      </c>
      <c r="D53" s="88"/>
      <c r="E53" s="94"/>
      <c r="F53" s="94"/>
      <c r="G53" s="85"/>
      <c r="H53" s="72"/>
    </row>
    <row r="54" spans="1:8">
      <c r="A54" s="21"/>
      <c r="B54" s="22"/>
      <c r="C54" s="55"/>
      <c r="D54" s="1220"/>
      <c r="E54" s="1221"/>
      <c r="F54" s="94"/>
      <c r="G54" s="85"/>
      <c r="H54" s="72"/>
    </row>
    <row r="55" spans="1:8">
      <c r="A55" s="95"/>
      <c r="B55" s="92" t="s">
        <v>250</v>
      </c>
      <c r="C55" s="96" t="s">
        <v>529</v>
      </c>
      <c r="D55" s="1219"/>
      <c r="E55" s="1218"/>
      <c r="F55" s="84"/>
      <c r="G55" s="85"/>
      <c r="H55" s="72"/>
    </row>
    <row r="56" spans="1:8" ht="25.5">
      <c r="A56" s="97">
        <v>11</v>
      </c>
      <c r="B56" s="98" t="s">
        <v>251</v>
      </c>
      <c r="C56" s="99">
        <f>SUM(C57:C59)</f>
        <v>81278</v>
      </c>
      <c r="D56" s="1218"/>
      <c r="E56" s="1218"/>
      <c r="F56" s="84"/>
      <c r="G56" s="85"/>
      <c r="H56" s="72"/>
    </row>
    <row r="57" spans="1:8">
      <c r="A57" s="100" t="s">
        <v>30</v>
      </c>
      <c r="B57" s="101" t="s">
        <v>28</v>
      </c>
      <c r="C57" s="55">
        <v>80181</v>
      </c>
      <c r="D57" s="1218"/>
      <c r="E57" s="1218"/>
      <c r="F57" s="84"/>
      <c r="G57" s="85"/>
      <c r="H57" s="72"/>
    </row>
    <row r="58" spans="1:8">
      <c r="A58" s="100" t="s">
        <v>32</v>
      </c>
      <c r="B58" s="101" t="s">
        <v>363</v>
      </c>
      <c r="C58" s="55">
        <v>1097</v>
      </c>
      <c r="D58" s="1218"/>
      <c r="E58" s="1218"/>
      <c r="F58" s="84"/>
      <c r="G58" s="85"/>
      <c r="H58" s="72"/>
    </row>
    <row r="59" spans="1:8">
      <c r="A59" s="100" t="s">
        <v>34</v>
      </c>
      <c r="B59" s="101" t="s">
        <v>29</v>
      </c>
      <c r="C59" s="55">
        <v>0</v>
      </c>
      <c r="D59" s="1218"/>
      <c r="E59" s="1218"/>
      <c r="F59" s="84"/>
      <c r="G59" s="85"/>
      <c r="H59" s="72"/>
    </row>
    <row r="60" spans="1:8" ht="38.25">
      <c r="A60" s="97">
        <v>12</v>
      </c>
      <c r="B60" s="98" t="s">
        <v>252</v>
      </c>
      <c r="C60" s="57">
        <f>SUM(C61+C62+C64+C65+C66)</f>
        <v>152925</v>
      </c>
      <c r="D60" s="1218"/>
      <c r="E60" s="1218"/>
      <c r="F60" s="84"/>
      <c r="G60" s="85"/>
      <c r="H60" s="72"/>
    </row>
    <row r="61" spans="1:8">
      <c r="A61" s="100" t="s">
        <v>36</v>
      </c>
      <c r="B61" s="101" t="s">
        <v>31</v>
      </c>
      <c r="C61" s="55">
        <v>49304</v>
      </c>
      <c r="D61" s="1218"/>
      <c r="E61" s="1218"/>
      <c r="F61" s="84"/>
      <c r="G61" s="85"/>
      <c r="H61" s="72"/>
    </row>
    <row r="62" spans="1:8">
      <c r="A62" s="100" t="s">
        <v>38</v>
      </c>
      <c r="B62" s="101" t="s">
        <v>206</v>
      </c>
      <c r="C62" s="55">
        <v>101936</v>
      </c>
      <c r="D62" s="1218"/>
      <c r="E62" s="1218"/>
      <c r="F62" s="84"/>
      <c r="G62" s="85"/>
      <c r="H62" s="72"/>
    </row>
    <row r="63" spans="1:8">
      <c r="A63" s="100" t="s">
        <v>253</v>
      </c>
      <c r="B63" s="101" t="s">
        <v>33</v>
      </c>
      <c r="C63" s="55">
        <v>40713</v>
      </c>
      <c r="D63" s="1218"/>
      <c r="E63" s="1218"/>
      <c r="F63" s="84"/>
      <c r="G63" s="85"/>
      <c r="H63" s="72"/>
    </row>
    <row r="64" spans="1:8">
      <c r="A64" s="100" t="s">
        <v>39</v>
      </c>
      <c r="B64" s="101" t="s">
        <v>35</v>
      </c>
      <c r="C64" s="55">
        <v>0</v>
      </c>
      <c r="D64" s="1218"/>
      <c r="E64" s="1218"/>
      <c r="F64" s="84"/>
      <c r="G64" s="85"/>
      <c r="H64" s="72"/>
    </row>
    <row r="65" spans="1:8">
      <c r="A65" s="102" t="s">
        <v>254</v>
      </c>
      <c r="B65" s="101" t="s">
        <v>153</v>
      </c>
      <c r="C65" s="55">
        <v>1685</v>
      </c>
      <c r="D65" s="1218"/>
      <c r="E65" s="1218"/>
      <c r="F65" s="84"/>
      <c r="G65" s="85"/>
      <c r="H65" s="72"/>
    </row>
    <row r="66" spans="1:8">
      <c r="A66" s="102" t="s">
        <v>255</v>
      </c>
      <c r="B66" s="103" t="s">
        <v>216</v>
      </c>
      <c r="C66" s="55">
        <v>0</v>
      </c>
      <c r="D66" s="1218"/>
      <c r="E66" s="1218"/>
      <c r="F66" s="84"/>
      <c r="G66" s="85"/>
      <c r="H66" s="72"/>
    </row>
    <row r="67" spans="1:8">
      <c r="A67" s="97">
        <v>13</v>
      </c>
      <c r="B67" s="104" t="s">
        <v>256</v>
      </c>
      <c r="C67" s="57">
        <f>SUM(C68:C69)</f>
        <v>5156</v>
      </c>
      <c r="D67" s="1218"/>
      <c r="E67" s="1218"/>
      <c r="F67" s="84"/>
      <c r="G67" s="85"/>
      <c r="H67" s="72"/>
    </row>
    <row r="68" spans="1:8">
      <c r="A68" s="100" t="s">
        <v>156</v>
      </c>
      <c r="B68" s="103" t="s">
        <v>40</v>
      </c>
      <c r="C68" s="55">
        <v>0</v>
      </c>
      <c r="D68" s="1218"/>
      <c r="E68" s="1218"/>
      <c r="F68" s="84"/>
      <c r="G68" s="85"/>
      <c r="H68" s="72"/>
    </row>
    <row r="69" spans="1:8">
      <c r="A69" s="100" t="s">
        <v>157</v>
      </c>
      <c r="B69" s="103" t="s">
        <v>41</v>
      </c>
      <c r="C69" s="55">
        <v>5156</v>
      </c>
      <c r="D69" s="1218"/>
      <c r="E69" s="1218"/>
      <c r="F69" s="84"/>
      <c r="G69" s="85"/>
      <c r="H69" s="72"/>
    </row>
    <row r="70" spans="1:8">
      <c r="A70" s="95">
        <v>14</v>
      </c>
      <c r="B70" s="82" t="s">
        <v>257</v>
      </c>
      <c r="C70" s="57">
        <v>0</v>
      </c>
      <c r="D70" s="1218"/>
      <c r="E70" s="1218"/>
      <c r="F70" s="84"/>
      <c r="G70" s="85"/>
      <c r="H70" s="72"/>
    </row>
    <row r="71" spans="1:8">
      <c r="A71" s="105" t="s">
        <v>42</v>
      </c>
      <c r="B71" s="106" t="s">
        <v>155</v>
      </c>
      <c r="C71" s="55">
        <v>0</v>
      </c>
      <c r="D71" s="1219"/>
      <c r="E71" s="1219"/>
      <c r="F71" s="81"/>
      <c r="G71" s="85"/>
      <c r="H71" s="72"/>
    </row>
    <row r="72" spans="1:8">
      <c r="A72" s="105" t="s">
        <v>43</v>
      </c>
      <c r="B72" s="107" t="s">
        <v>258</v>
      </c>
      <c r="C72" s="55">
        <v>0</v>
      </c>
      <c r="D72" s="81"/>
      <c r="E72" s="81"/>
      <c r="F72" s="81"/>
      <c r="G72" s="85"/>
      <c r="H72" s="72"/>
    </row>
    <row r="73" spans="1:8">
      <c r="A73" s="105" t="s">
        <v>45</v>
      </c>
      <c r="B73" s="108" t="s">
        <v>44</v>
      </c>
      <c r="C73" s="55">
        <v>0</v>
      </c>
      <c r="D73" s="1218"/>
      <c r="E73" s="1218"/>
      <c r="F73" s="84"/>
      <c r="G73" s="85"/>
      <c r="H73" s="72"/>
    </row>
    <row r="74" spans="1:8">
      <c r="A74" s="105" t="s">
        <v>154</v>
      </c>
      <c r="B74" s="108" t="s">
        <v>46</v>
      </c>
      <c r="C74" s="55">
        <v>0</v>
      </c>
      <c r="D74" s="1218"/>
      <c r="E74" s="1218"/>
      <c r="F74" s="84"/>
      <c r="G74" s="85"/>
      <c r="H74" s="72"/>
    </row>
    <row r="75" spans="1:8">
      <c r="A75" s="109" t="s">
        <v>259</v>
      </c>
      <c r="B75" s="108" t="s">
        <v>104</v>
      </c>
      <c r="C75" s="55">
        <v>0</v>
      </c>
      <c r="D75" s="1218"/>
      <c r="E75" s="1218"/>
      <c r="F75" s="84"/>
      <c r="G75" s="85"/>
      <c r="H75" s="72"/>
    </row>
    <row r="76" spans="1:8">
      <c r="A76" s="110">
        <v>15</v>
      </c>
      <c r="B76" s="82" t="s">
        <v>260</v>
      </c>
      <c r="C76" s="58">
        <f>SUM(C56+C60+C67+C70)</f>
        <v>239359</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c r="A80" s="95">
        <v>16</v>
      </c>
      <c r="B80" s="112" t="s">
        <v>262</v>
      </c>
      <c r="C80" s="59">
        <f>SUM(C81:C85)</f>
        <v>13149</v>
      </c>
      <c r="D80" s="84"/>
      <c r="E80" s="84"/>
      <c r="F80" s="84"/>
      <c r="G80" s="85"/>
      <c r="H80" s="72"/>
    </row>
    <row r="81" spans="1:8">
      <c r="A81" s="109" t="s">
        <v>263</v>
      </c>
      <c r="B81" s="85" t="s">
        <v>264</v>
      </c>
      <c r="C81" s="55">
        <v>2345</v>
      </c>
      <c r="D81" s="84"/>
      <c r="E81" s="84"/>
      <c r="F81" s="84"/>
      <c r="G81" s="85"/>
      <c r="H81" s="72"/>
    </row>
    <row r="82" spans="1:8" ht="25.5">
      <c r="A82" s="109" t="s">
        <v>192</v>
      </c>
      <c r="B82" s="113" t="s">
        <v>207</v>
      </c>
      <c r="C82" s="55">
        <v>1955</v>
      </c>
      <c r="D82" s="84"/>
      <c r="E82" s="84"/>
      <c r="F82" s="84"/>
      <c r="G82" s="85"/>
      <c r="H82" s="72"/>
    </row>
    <row r="83" spans="1:8">
      <c r="A83" s="109" t="s">
        <v>193</v>
      </c>
      <c r="B83" s="85" t="s">
        <v>158</v>
      </c>
      <c r="C83" s="55">
        <v>5987</v>
      </c>
      <c r="D83" s="84"/>
      <c r="E83" s="84"/>
      <c r="F83" s="84"/>
      <c r="G83" s="85"/>
      <c r="H83" s="72"/>
    </row>
    <row r="84" spans="1:8">
      <c r="A84" s="109" t="s">
        <v>265</v>
      </c>
      <c r="B84" s="85" t="s">
        <v>159</v>
      </c>
      <c r="C84" s="55">
        <v>2273</v>
      </c>
      <c r="D84" s="84"/>
      <c r="E84" s="84"/>
      <c r="F84" s="84"/>
      <c r="G84" s="85"/>
      <c r="H84" s="72"/>
    </row>
    <row r="85" spans="1:8">
      <c r="A85" s="109" t="s">
        <v>266</v>
      </c>
      <c r="B85" s="85" t="s">
        <v>160</v>
      </c>
      <c r="C85" s="55">
        <v>589</v>
      </c>
      <c r="D85" s="84"/>
      <c r="E85" s="84"/>
      <c r="F85" s="84"/>
      <c r="G85" s="85"/>
      <c r="H85" s="72"/>
    </row>
    <row r="86" spans="1:8">
      <c r="A86" s="110">
        <v>17</v>
      </c>
      <c r="B86" s="111" t="s">
        <v>191</v>
      </c>
      <c r="C86" s="59">
        <v>0</v>
      </c>
      <c r="D86" s="1218"/>
      <c r="E86" s="1218"/>
      <c r="F86" s="84"/>
      <c r="G86" s="82"/>
      <c r="H86" s="83"/>
    </row>
    <row r="87" spans="1:8">
      <c r="A87" s="110">
        <v>18</v>
      </c>
      <c r="B87" s="82" t="s">
        <v>267</v>
      </c>
      <c r="C87" s="57">
        <f>SUM(C88:C90)</f>
        <v>10747</v>
      </c>
      <c r="D87" s="1218"/>
      <c r="E87" s="1218"/>
      <c r="F87" s="84"/>
      <c r="G87" s="85"/>
      <c r="H87" s="72"/>
    </row>
    <row r="88" spans="1:8">
      <c r="A88" s="105" t="s">
        <v>268</v>
      </c>
      <c r="B88" s="114" t="s">
        <v>47</v>
      </c>
      <c r="C88" s="55">
        <v>0</v>
      </c>
      <c r="D88" s="1218"/>
      <c r="E88" s="1218"/>
      <c r="F88" s="84"/>
      <c r="G88" s="85"/>
      <c r="H88" s="72"/>
    </row>
    <row r="89" spans="1:8">
      <c r="A89" s="105" t="s">
        <v>269</v>
      </c>
      <c r="B89" s="114" t="s">
        <v>48</v>
      </c>
      <c r="C89" s="55">
        <v>10747</v>
      </c>
      <c r="D89" s="1218"/>
      <c r="E89" s="1218"/>
      <c r="F89" s="84"/>
      <c r="G89" s="85"/>
      <c r="H89" s="72"/>
    </row>
    <row r="90" spans="1:8">
      <c r="A90" s="105" t="s">
        <v>270</v>
      </c>
      <c r="B90" s="114" t="s">
        <v>105</v>
      </c>
      <c r="C90" s="96">
        <v>0</v>
      </c>
      <c r="D90" s="1218"/>
      <c r="E90" s="1218"/>
      <c r="F90" s="84"/>
      <c r="G90" s="85"/>
      <c r="H90" s="72"/>
    </row>
    <row r="91" spans="1:8">
      <c r="A91" s="110">
        <v>19</v>
      </c>
      <c r="B91" s="85" t="s">
        <v>205</v>
      </c>
      <c r="C91" s="96">
        <v>0</v>
      </c>
      <c r="D91" s="1218"/>
      <c r="E91" s="1218"/>
      <c r="F91" s="84"/>
      <c r="G91" s="85"/>
      <c r="H91" s="72"/>
    </row>
    <row r="92" spans="1:8" ht="38.25">
      <c r="A92" s="110">
        <v>20</v>
      </c>
      <c r="B92" s="113" t="s">
        <v>106</v>
      </c>
      <c r="C92" s="96">
        <v>33426</v>
      </c>
      <c r="D92" s="1218"/>
      <c r="E92" s="1218"/>
      <c r="F92" s="84"/>
      <c r="G92" s="85"/>
      <c r="H92" s="72"/>
    </row>
    <row r="93" spans="1:8">
      <c r="A93" s="110">
        <v>21</v>
      </c>
      <c r="B93" s="85" t="s">
        <v>103</v>
      </c>
      <c r="C93" s="96">
        <v>14104</v>
      </c>
      <c r="D93" s="1218"/>
      <c r="E93" s="1218"/>
      <c r="F93" s="84"/>
      <c r="G93" s="85"/>
      <c r="H93" s="72"/>
    </row>
    <row r="94" spans="1:8" ht="25.5">
      <c r="A94" s="110">
        <v>22</v>
      </c>
      <c r="B94" s="113" t="s">
        <v>107</v>
      </c>
      <c r="C94" s="115">
        <v>36466</v>
      </c>
      <c r="D94" s="1218" t="s">
        <v>604</v>
      </c>
      <c r="E94" s="1218"/>
      <c r="F94" s="116"/>
      <c r="G94" s="117"/>
      <c r="H94" s="80"/>
    </row>
    <row r="95" spans="1:8" ht="25.5">
      <c r="A95" s="110">
        <v>23</v>
      </c>
      <c r="B95" s="113" t="s">
        <v>271</v>
      </c>
      <c r="C95" s="118">
        <f>SUM(C53,C76,C80,C86,C87,C91,C92,C93,C94)</f>
        <v>1298406</v>
      </c>
      <c r="D95" s="1218"/>
      <c r="E95" s="1218"/>
      <c r="F95" s="84"/>
      <c r="G95" s="85"/>
      <c r="H95" s="72"/>
    </row>
    <row r="96" spans="1:8">
      <c r="A96" s="109" t="s">
        <v>108</v>
      </c>
      <c r="B96" s="114" t="s">
        <v>49</v>
      </c>
      <c r="C96" s="96">
        <v>0</v>
      </c>
      <c r="D96" s="1218"/>
      <c r="E96" s="1218"/>
      <c r="F96" s="84"/>
      <c r="G96" s="85"/>
      <c r="H96" s="72"/>
    </row>
    <row r="97" spans="1:8" ht="15">
      <c r="A97" s="110">
        <v>24</v>
      </c>
      <c r="B97" s="85" t="s">
        <v>272</v>
      </c>
      <c r="C97" s="119">
        <f>SUM(C95,C96)</f>
        <v>1298406</v>
      </c>
      <c r="D97" s="1218"/>
      <c r="E97" s="1218"/>
      <c r="F97" s="84"/>
      <c r="G97" s="85"/>
      <c r="H97" s="72"/>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2197</v>
      </c>
      <c r="D103" s="51">
        <f>SUM(D104,D107:D110)</f>
        <v>0</v>
      </c>
      <c r="E103" s="51" t="s">
        <v>529</v>
      </c>
      <c r="F103" s="34"/>
      <c r="G103" s="10"/>
      <c r="H103" s="3"/>
    </row>
    <row r="104" spans="1:8">
      <c r="A104" s="25" t="s">
        <v>91</v>
      </c>
      <c r="B104" s="13" t="s">
        <v>53</v>
      </c>
      <c r="C104" s="51">
        <v>1990</v>
      </c>
      <c r="D104" s="51">
        <f>SUM(D105:D106)</f>
        <v>0</v>
      </c>
      <c r="E104" s="34">
        <v>70098</v>
      </c>
      <c r="F104" s="34"/>
      <c r="G104" s="10"/>
      <c r="H104" s="3"/>
    </row>
    <row r="105" spans="1:8">
      <c r="A105" s="25" t="s">
        <v>194</v>
      </c>
      <c r="B105" s="35" t="s">
        <v>54</v>
      </c>
      <c r="C105" s="34">
        <v>1914</v>
      </c>
      <c r="D105" s="25"/>
      <c r="E105" s="34" t="s">
        <v>201</v>
      </c>
      <c r="F105" s="34"/>
      <c r="G105" s="10"/>
      <c r="H105" s="3"/>
    </row>
    <row r="106" spans="1:8">
      <c r="A106" s="25" t="s">
        <v>195</v>
      </c>
      <c r="B106" s="35" t="s">
        <v>55</v>
      </c>
      <c r="C106" s="34">
        <v>197</v>
      </c>
      <c r="D106" s="25"/>
      <c r="E106" s="34" t="s">
        <v>201</v>
      </c>
      <c r="F106" s="34"/>
      <c r="G106" s="10"/>
      <c r="H106" s="3"/>
    </row>
    <row r="107" spans="1:8">
      <c r="A107" s="25" t="s">
        <v>93</v>
      </c>
      <c r="B107" s="13" t="s">
        <v>56</v>
      </c>
      <c r="C107" s="34">
        <v>207</v>
      </c>
      <c r="D107" s="34">
        <v>0</v>
      </c>
      <c r="E107" s="34">
        <v>10992</v>
      </c>
      <c r="F107" s="34"/>
      <c r="G107" s="10"/>
      <c r="H107" s="3"/>
    </row>
    <row r="108" spans="1:8">
      <c r="A108" s="25" t="s">
        <v>275</v>
      </c>
      <c r="B108" s="13" t="s">
        <v>57</v>
      </c>
      <c r="C108" s="34">
        <v>0</v>
      </c>
      <c r="D108" s="34">
        <v>0</v>
      </c>
      <c r="E108" s="34">
        <v>421</v>
      </c>
      <c r="F108" s="34"/>
      <c r="G108" s="10"/>
      <c r="H108" s="3"/>
    </row>
    <row r="109" spans="1:8">
      <c r="A109" s="25" t="s">
        <v>276</v>
      </c>
      <c r="B109" s="13" t="s">
        <v>58</v>
      </c>
      <c r="C109" s="34">
        <v>0</v>
      </c>
      <c r="D109" s="34">
        <v>0</v>
      </c>
      <c r="E109" s="34">
        <v>38</v>
      </c>
      <c r="F109" s="34"/>
      <c r="G109" s="10"/>
      <c r="H109" s="3"/>
    </row>
    <row r="110" spans="1:8">
      <c r="A110" s="27" t="s">
        <v>277</v>
      </c>
      <c r="B110" s="13" t="s">
        <v>139</v>
      </c>
      <c r="C110" s="52">
        <v>0</v>
      </c>
      <c r="D110" s="51">
        <v>0</v>
      </c>
      <c r="E110" s="34">
        <v>0</v>
      </c>
      <c r="F110" s="34"/>
      <c r="G110" s="10"/>
      <c r="H110" s="3"/>
    </row>
    <row r="111" spans="1:8">
      <c r="A111" s="30">
        <v>26</v>
      </c>
      <c r="B111" s="18" t="s">
        <v>278</v>
      </c>
      <c r="C111" s="34" t="s">
        <v>529</v>
      </c>
      <c r="D111" s="34"/>
      <c r="E111" s="34"/>
      <c r="F111" s="34"/>
      <c r="G111" s="10"/>
      <c r="H111" s="3"/>
    </row>
    <row r="112" spans="1:8">
      <c r="A112" s="25" t="s">
        <v>92</v>
      </c>
      <c r="B112" s="13" t="s">
        <v>59</v>
      </c>
      <c r="C112" s="34">
        <v>2971</v>
      </c>
      <c r="D112" s="34">
        <v>1718</v>
      </c>
      <c r="E112" s="34">
        <v>8718</v>
      </c>
      <c r="F112" s="34"/>
      <c r="G112" s="10"/>
      <c r="H112" s="3"/>
    </row>
    <row r="113" spans="1:8">
      <c r="A113" s="27" t="s">
        <v>94</v>
      </c>
      <c r="B113" s="13" t="s">
        <v>164</v>
      </c>
      <c r="C113" s="34">
        <v>9150</v>
      </c>
      <c r="D113" s="34">
        <v>28</v>
      </c>
      <c r="E113" s="34">
        <v>38564</v>
      </c>
      <c r="F113" s="34"/>
      <c r="G113" s="10"/>
      <c r="H113" s="3"/>
    </row>
    <row r="114" spans="1:8">
      <c r="A114" s="25"/>
      <c r="B114" s="13"/>
      <c r="C114" s="34"/>
      <c r="D114" s="34"/>
      <c r="E114" s="34"/>
      <c r="F114" s="34"/>
      <c r="G114" s="10"/>
      <c r="H114" s="3"/>
    </row>
    <row r="115" spans="1:8" ht="38.25">
      <c r="A115" s="36">
        <v>27</v>
      </c>
      <c r="B115" s="33" t="s">
        <v>279</v>
      </c>
      <c r="C115" s="51">
        <f>SUM(C116+C119)</f>
        <v>1640</v>
      </c>
      <c r="D115" s="51">
        <f>SUM(D116+D119)</f>
        <v>19</v>
      </c>
      <c r="E115" s="34">
        <f>SUM(E116+E119)</f>
        <v>16722</v>
      </c>
      <c r="F115" s="34"/>
      <c r="G115" s="10"/>
      <c r="H115" s="3"/>
    </row>
    <row r="116" spans="1:8" ht="25.5">
      <c r="A116" s="30" t="s">
        <v>196</v>
      </c>
      <c r="B116" s="126" t="s">
        <v>280</v>
      </c>
      <c r="C116" s="52">
        <f>SUM(C117,C118)</f>
        <v>0</v>
      </c>
      <c r="D116" s="52">
        <f>SUM(D117:D118)</f>
        <v>19</v>
      </c>
      <c r="E116" s="25">
        <v>8983</v>
      </c>
      <c r="F116" s="25"/>
      <c r="G116" s="10"/>
      <c r="H116" s="3"/>
    </row>
    <row r="117" spans="1:8">
      <c r="A117" s="25" t="s">
        <v>281</v>
      </c>
      <c r="B117" s="35" t="s">
        <v>124</v>
      </c>
      <c r="C117" s="25" t="s">
        <v>529</v>
      </c>
      <c r="D117" s="25">
        <v>19</v>
      </c>
      <c r="E117" s="25">
        <v>158</v>
      </c>
      <c r="F117" s="25"/>
      <c r="G117" s="10"/>
      <c r="H117" s="3"/>
    </row>
    <row r="118" spans="1:8">
      <c r="A118" s="25" t="s">
        <v>282</v>
      </c>
      <c r="B118" s="35" t="s">
        <v>125</v>
      </c>
      <c r="C118" s="25">
        <v>0</v>
      </c>
      <c r="D118" s="25"/>
      <c r="E118" s="25">
        <v>8825</v>
      </c>
      <c r="F118" s="25"/>
      <c r="G118" s="10"/>
      <c r="H118" s="3"/>
    </row>
    <row r="119" spans="1:8" ht="25.5">
      <c r="A119" s="30" t="s">
        <v>283</v>
      </c>
      <c r="B119" s="126" t="s">
        <v>284</v>
      </c>
      <c r="C119" s="52">
        <f>SUM(C120:C122)</f>
        <v>1640</v>
      </c>
      <c r="D119" s="52">
        <f>SUM(D120:D122)</f>
        <v>0</v>
      </c>
      <c r="E119" s="25">
        <f>SUM(E120:E122)</f>
        <v>7739</v>
      </c>
      <c r="F119" s="25"/>
      <c r="G119" s="10"/>
      <c r="H119" s="3"/>
    </row>
    <row r="120" spans="1:8">
      <c r="A120" s="25" t="s">
        <v>285</v>
      </c>
      <c r="B120" s="35" t="s">
        <v>126</v>
      </c>
      <c r="C120" s="25">
        <v>0</v>
      </c>
      <c r="D120" s="25"/>
      <c r="E120" s="25">
        <v>0</v>
      </c>
      <c r="F120" s="25"/>
      <c r="G120" s="10"/>
      <c r="H120" s="3"/>
    </row>
    <row r="121" spans="1:8">
      <c r="A121" s="27" t="s">
        <v>286</v>
      </c>
      <c r="B121" s="35" t="s">
        <v>287</v>
      </c>
      <c r="C121" s="25">
        <v>1227</v>
      </c>
      <c r="D121" s="25"/>
      <c r="E121" s="25">
        <v>6006</v>
      </c>
      <c r="F121" s="25"/>
      <c r="G121" s="10"/>
      <c r="H121" s="3"/>
    </row>
    <row r="122" spans="1:8">
      <c r="A122" s="25" t="s">
        <v>288</v>
      </c>
      <c r="B122" s="35" t="s">
        <v>218</v>
      </c>
      <c r="C122" s="25">
        <v>413</v>
      </c>
      <c r="D122" s="25"/>
      <c r="E122" s="25">
        <v>1733</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66</v>
      </c>
      <c r="D125" s="52">
        <f>SUM(D126:D127)</f>
        <v>0</v>
      </c>
      <c r="E125" s="25">
        <v>2796</v>
      </c>
      <c r="F125" s="25"/>
      <c r="G125" s="10"/>
      <c r="H125" s="3"/>
    </row>
    <row r="126" spans="1:8">
      <c r="A126" s="25" t="s">
        <v>127</v>
      </c>
      <c r="B126" s="24" t="s">
        <v>40</v>
      </c>
      <c r="C126" s="25">
        <v>0</v>
      </c>
      <c r="D126" s="25"/>
      <c r="E126" s="25">
        <v>249</v>
      </c>
      <c r="F126" s="25"/>
      <c r="G126" s="10"/>
      <c r="H126" s="3"/>
    </row>
    <row r="127" spans="1:8">
      <c r="A127" s="25" t="s">
        <v>129</v>
      </c>
      <c r="B127" s="24" t="s">
        <v>41</v>
      </c>
      <c r="C127" s="25">
        <v>66</v>
      </c>
      <c r="D127" s="25"/>
      <c r="E127" s="25">
        <v>2547</v>
      </c>
      <c r="F127" s="25"/>
      <c r="G127" s="10"/>
      <c r="H127" s="3"/>
    </row>
    <row r="128" spans="1:8">
      <c r="A128" s="25"/>
      <c r="C128" s="25"/>
      <c r="D128" s="25"/>
      <c r="E128" s="25"/>
      <c r="F128" s="25"/>
      <c r="G128" s="10"/>
      <c r="H128" s="3"/>
    </row>
    <row r="129" spans="1:8">
      <c r="A129" s="30">
        <v>29</v>
      </c>
      <c r="B129" s="6" t="s">
        <v>290</v>
      </c>
      <c r="C129" s="25"/>
      <c r="D129" s="25"/>
      <c r="E129" s="25"/>
      <c r="F129" s="25"/>
      <c r="G129" s="10"/>
      <c r="H129" s="3"/>
    </row>
    <row r="130" spans="1:8">
      <c r="A130" s="25" t="s">
        <v>165</v>
      </c>
      <c r="B130" s="10" t="s">
        <v>37</v>
      </c>
      <c r="C130" s="25">
        <v>0</v>
      </c>
      <c r="D130" s="25"/>
      <c r="E130" s="25">
        <v>1</v>
      </c>
      <c r="F130" s="25"/>
      <c r="G130" s="10"/>
      <c r="H130" s="3"/>
    </row>
    <row r="131" spans="1:8">
      <c r="A131" s="25" t="s">
        <v>166</v>
      </c>
      <c r="B131" s="10" t="s">
        <v>79</v>
      </c>
      <c r="C131" s="25">
        <v>0</v>
      </c>
      <c r="D131" s="25"/>
      <c r="E131" s="25">
        <v>0</v>
      </c>
      <c r="F131" s="25"/>
      <c r="G131" s="10"/>
      <c r="H131" s="3"/>
    </row>
    <row r="132" spans="1:8">
      <c r="A132" s="25" t="s">
        <v>291</v>
      </c>
      <c r="B132" s="28" t="s">
        <v>222</v>
      </c>
      <c r="C132" s="25">
        <v>11</v>
      </c>
      <c r="D132" s="25" t="s">
        <v>529</v>
      </c>
      <c r="E132" s="25">
        <v>1190</v>
      </c>
      <c r="F132" s="25"/>
      <c r="G132" s="6"/>
      <c r="H132" s="122"/>
    </row>
    <row r="133" spans="1:8">
      <c r="A133" s="25" t="s">
        <v>292</v>
      </c>
      <c r="B133" s="28" t="s">
        <v>293</v>
      </c>
      <c r="C133" s="25">
        <v>0</v>
      </c>
      <c r="D133" s="25"/>
      <c r="E133" s="25">
        <v>0</v>
      </c>
      <c r="F133" s="25"/>
      <c r="G133" s="6"/>
      <c r="H133" s="122"/>
    </row>
    <row r="134" spans="1:8">
      <c r="A134" s="25" t="s">
        <v>294</v>
      </c>
      <c r="B134" s="28" t="s">
        <v>223</v>
      </c>
      <c r="C134" s="25">
        <v>0</v>
      </c>
      <c r="D134" s="25"/>
      <c r="E134" s="25">
        <v>0</v>
      </c>
      <c r="F134" s="25"/>
      <c r="G134" s="6"/>
      <c r="H134" s="122"/>
    </row>
    <row r="135" spans="1:8">
      <c r="A135" s="25" t="s">
        <v>295</v>
      </c>
      <c r="B135" s="13" t="s">
        <v>224</v>
      </c>
      <c r="C135" s="25">
        <v>0</v>
      </c>
      <c r="D135" s="25"/>
      <c r="E135" s="25">
        <v>0</v>
      </c>
      <c r="F135" s="25"/>
      <c r="G135" s="6"/>
      <c r="H135" s="122"/>
    </row>
    <row r="136" spans="1:8">
      <c r="A136" s="25" t="s">
        <v>296</v>
      </c>
      <c r="B136" s="13" t="s">
        <v>225</v>
      </c>
      <c r="C136" s="25">
        <v>0</v>
      </c>
      <c r="D136" s="25"/>
      <c r="E136" s="25">
        <v>187</v>
      </c>
      <c r="F136" s="25"/>
      <c r="G136" s="6"/>
      <c r="H136" s="122"/>
    </row>
    <row r="137" spans="1:8">
      <c r="A137" s="25"/>
      <c r="B137" s="10" t="s">
        <v>297</v>
      </c>
      <c r="C137" s="25"/>
      <c r="D137" s="25"/>
      <c r="E137" s="25"/>
      <c r="F137" s="25"/>
      <c r="G137" s="10"/>
      <c r="H137" s="3"/>
    </row>
    <row r="138" spans="1:8">
      <c r="A138" s="27" t="s">
        <v>298</v>
      </c>
      <c r="B138" s="13" t="s">
        <v>197</v>
      </c>
      <c r="C138" s="25">
        <v>0</v>
      </c>
      <c r="D138" s="25"/>
      <c r="E138" s="25">
        <v>1</v>
      </c>
      <c r="F138" s="25"/>
      <c r="G138" s="6"/>
      <c r="H138" s="122"/>
    </row>
    <row r="139" spans="1:8">
      <c r="A139" s="27" t="s">
        <v>299</v>
      </c>
      <c r="B139" s="13" t="s">
        <v>198</v>
      </c>
      <c r="C139" s="25">
        <v>67</v>
      </c>
      <c r="D139" s="25"/>
      <c r="E139" s="25">
        <v>107</v>
      </c>
      <c r="F139" s="25"/>
      <c r="G139" s="6"/>
      <c r="H139" s="122"/>
    </row>
    <row r="140" spans="1:8">
      <c r="A140" s="27" t="s">
        <v>300</v>
      </c>
      <c r="B140" s="13" t="s">
        <v>199</v>
      </c>
      <c r="C140" s="25">
        <v>1.96</v>
      </c>
      <c r="D140" s="25"/>
      <c r="E140" s="25"/>
      <c r="F140" s="25"/>
      <c r="G140" s="6"/>
      <c r="H140" s="122"/>
    </row>
    <row r="141" spans="1:8">
      <c r="A141" s="27" t="s">
        <v>301</v>
      </c>
      <c r="B141" s="13" t="s">
        <v>200</v>
      </c>
      <c r="C141" s="25" t="s">
        <v>201</v>
      </c>
      <c r="D141" s="25" t="s">
        <v>201</v>
      </c>
      <c r="E141" s="25" t="s">
        <v>201</v>
      </c>
      <c r="F141" s="25"/>
      <c r="G141" s="6"/>
      <c r="H141" s="122"/>
    </row>
    <row r="142" spans="1:8">
      <c r="A142" s="25" t="s">
        <v>302</v>
      </c>
      <c r="B142" s="13" t="s">
        <v>220</v>
      </c>
      <c r="C142" s="25">
        <v>1</v>
      </c>
      <c r="D142" s="25"/>
      <c r="E142" s="25">
        <v>129</v>
      </c>
      <c r="F142" s="25"/>
      <c r="G142" s="6"/>
      <c r="H142" s="122"/>
    </row>
    <row r="143" spans="1:8">
      <c r="A143" s="25" t="s">
        <v>303</v>
      </c>
      <c r="B143" s="13" t="s">
        <v>221</v>
      </c>
      <c r="C143" s="25">
        <v>0</v>
      </c>
      <c r="D143" s="25"/>
      <c r="E143" s="25">
        <v>269</v>
      </c>
      <c r="F143" s="25"/>
      <c r="G143" s="6"/>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184347</v>
      </c>
    </row>
    <row r="148" spans="1:9">
      <c r="A148" s="27" t="s">
        <v>169</v>
      </c>
      <c r="B148" s="10" t="s">
        <v>167</v>
      </c>
      <c r="C148" s="9" t="s">
        <v>400</v>
      </c>
    </row>
    <row r="149" spans="1:9">
      <c r="A149" s="27" t="s">
        <v>171</v>
      </c>
      <c r="B149" s="10" t="s">
        <v>168</v>
      </c>
      <c r="C149" s="9">
        <v>184347</v>
      </c>
    </row>
    <row r="150" spans="1:9" ht="24.75">
      <c r="A150" s="38">
        <v>31</v>
      </c>
      <c r="B150" s="33" t="s">
        <v>305</v>
      </c>
      <c r="C150" s="9"/>
    </row>
    <row r="151" spans="1:9">
      <c r="A151" s="27" t="s">
        <v>137</v>
      </c>
      <c r="B151" s="10" t="s">
        <v>170</v>
      </c>
      <c r="C151" s="9">
        <v>69566</v>
      </c>
    </row>
    <row r="152" spans="1:9">
      <c r="A152" s="27" t="s">
        <v>138</v>
      </c>
      <c r="B152" s="10" t="s">
        <v>172</v>
      </c>
      <c r="C152" s="9" t="s">
        <v>400</v>
      </c>
    </row>
    <row r="153" spans="1:9">
      <c r="A153" s="27"/>
      <c r="B153" s="10"/>
      <c r="C153" s="9"/>
    </row>
    <row r="154" spans="1:9">
      <c r="A154" s="30"/>
      <c r="B154" s="1201" t="s">
        <v>306</v>
      </c>
      <c r="C154" s="1202"/>
    </row>
    <row r="155" spans="1:9">
      <c r="A155" s="30">
        <v>32</v>
      </c>
      <c r="B155" s="26" t="s">
        <v>307</v>
      </c>
      <c r="C155" s="52">
        <f>SUM(C156,C157,C163)</f>
        <v>56467</v>
      </c>
    </row>
    <row r="156" spans="1:9">
      <c r="A156" s="25" t="s">
        <v>308</v>
      </c>
      <c r="B156" s="28" t="s">
        <v>69</v>
      </c>
      <c r="C156" s="25">
        <v>53448</v>
      </c>
    </row>
    <row r="157" spans="1:9">
      <c r="A157" s="27" t="s">
        <v>309</v>
      </c>
      <c r="B157" s="28" t="s">
        <v>70</v>
      </c>
      <c r="C157" s="25">
        <v>1773</v>
      </c>
    </row>
    <row r="158" spans="1:9">
      <c r="A158" s="30">
        <v>33</v>
      </c>
      <c r="B158" s="41" t="s">
        <v>71</v>
      </c>
      <c r="C158" s="25">
        <v>28594</v>
      </c>
    </row>
    <row r="159" spans="1:9">
      <c r="A159" s="30">
        <v>34</v>
      </c>
      <c r="B159" s="26" t="s">
        <v>310</v>
      </c>
      <c r="C159" s="52">
        <f>SUM(C160:C162)</f>
        <v>0</v>
      </c>
    </row>
    <row r="160" spans="1:9">
      <c r="A160" s="25" t="s">
        <v>173</v>
      </c>
      <c r="B160" s="28" t="s">
        <v>72</v>
      </c>
      <c r="C160" s="25" t="s">
        <v>400</v>
      </c>
    </row>
    <row r="161" spans="1:7">
      <c r="A161" s="27" t="s">
        <v>175</v>
      </c>
      <c r="B161" s="28" t="s">
        <v>73</v>
      </c>
      <c r="C161" s="25" t="s">
        <v>400</v>
      </c>
    </row>
    <row r="162" spans="1:7">
      <c r="A162" s="27" t="s">
        <v>177</v>
      </c>
      <c r="B162" s="28" t="s">
        <v>214</v>
      </c>
      <c r="C162" s="25"/>
    </row>
    <row r="163" spans="1:7">
      <c r="A163" s="23">
        <v>35</v>
      </c>
      <c r="B163" s="26" t="s">
        <v>311</v>
      </c>
      <c r="C163" s="52">
        <f>SUM(C164:C166)</f>
        <v>1246</v>
      </c>
    </row>
    <row r="164" spans="1:7">
      <c r="A164" s="39" t="s">
        <v>312</v>
      </c>
      <c r="B164" s="41" t="s">
        <v>174</v>
      </c>
      <c r="C164" s="25">
        <v>1246</v>
      </c>
    </row>
    <row r="165" spans="1:7">
      <c r="A165" s="27" t="s">
        <v>313</v>
      </c>
      <c r="B165" s="41" t="s">
        <v>176</v>
      </c>
      <c r="C165" s="25" t="s">
        <v>400</v>
      </c>
    </row>
    <row r="166" spans="1:7">
      <c r="A166" s="27" t="s">
        <v>314</v>
      </c>
      <c r="B166" s="41" t="s">
        <v>178</v>
      </c>
      <c r="C166" s="25" t="s">
        <v>400</v>
      </c>
    </row>
    <row r="168" spans="1:7">
      <c r="A168" s="23"/>
      <c r="B168" s="129" t="s">
        <v>87</v>
      </c>
      <c r="C168" s="127"/>
      <c r="D168" s="127"/>
      <c r="E168" s="130"/>
      <c r="F168" s="131"/>
    </row>
    <row r="169" spans="1:7">
      <c r="A169" s="23">
        <v>36</v>
      </c>
      <c r="B169" s="132" t="s">
        <v>74</v>
      </c>
      <c r="C169" s="133">
        <v>429</v>
      </c>
      <c r="D169" s="134"/>
      <c r="E169" s="46"/>
      <c r="F169" s="46"/>
      <c r="G169" s="135"/>
    </row>
    <row r="170" spans="1:7">
      <c r="A170" s="23">
        <v>37</v>
      </c>
      <c r="B170" s="41" t="s">
        <v>75</v>
      </c>
      <c r="C170" s="136">
        <v>1094</v>
      </c>
      <c r="D170" s="134"/>
      <c r="E170" s="46"/>
      <c r="F170" s="46"/>
      <c r="G170" s="135"/>
    </row>
    <row r="171" spans="1:7">
      <c r="A171" s="23">
        <v>38</v>
      </c>
      <c r="B171" s="26" t="s">
        <v>315</v>
      </c>
      <c r="C171" s="54">
        <f>SUM(C172:C174)</f>
        <v>1523</v>
      </c>
      <c r="D171" s="137"/>
      <c r="E171" s="138"/>
      <c r="F171" s="138"/>
      <c r="G171" s="138"/>
    </row>
    <row r="172" spans="1:7">
      <c r="A172" s="39" t="s">
        <v>118</v>
      </c>
      <c r="B172" s="28" t="s">
        <v>208</v>
      </c>
      <c r="C172" s="133">
        <v>697</v>
      </c>
      <c r="D172" s="134"/>
      <c r="E172" s="46"/>
      <c r="F172" s="46"/>
      <c r="G172" s="135"/>
    </row>
    <row r="173" spans="1:7">
      <c r="A173" s="39" t="s">
        <v>119</v>
      </c>
      <c r="B173" s="28" t="s">
        <v>209</v>
      </c>
      <c r="C173" s="40">
        <v>194</v>
      </c>
      <c r="D173" s="134"/>
      <c r="E173" s="46"/>
      <c r="F173" s="46"/>
      <c r="G173" s="135"/>
    </row>
    <row r="174" spans="1:7">
      <c r="A174" s="27" t="s">
        <v>120</v>
      </c>
      <c r="B174" s="28" t="s">
        <v>210</v>
      </c>
      <c r="C174" s="40">
        <v>632</v>
      </c>
      <c r="D174" s="134"/>
      <c r="E174" s="46"/>
      <c r="F174" s="46"/>
      <c r="G174" s="135"/>
    </row>
    <row r="175" spans="1:7">
      <c r="A175" s="23">
        <v>39</v>
      </c>
      <c r="B175" s="26" t="s">
        <v>316</v>
      </c>
      <c r="C175" s="54">
        <f>SUM(C176:C178)</f>
        <v>0</v>
      </c>
      <c r="D175" s="134"/>
      <c r="E175" s="46"/>
      <c r="F175" s="46"/>
      <c r="G175" s="135"/>
    </row>
    <row r="176" spans="1:7">
      <c r="A176" s="39" t="s">
        <v>317</v>
      </c>
      <c r="B176" s="28" t="s">
        <v>76</v>
      </c>
      <c r="C176" s="40">
        <v>0</v>
      </c>
      <c r="D176" s="134"/>
      <c r="E176" s="46"/>
      <c r="F176" s="46"/>
      <c r="G176" s="135"/>
    </row>
    <row r="177" spans="1:7">
      <c r="A177" s="39" t="s">
        <v>318</v>
      </c>
      <c r="B177" s="28" t="s">
        <v>77</v>
      </c>
      <c r="C177" s="40">
        <v>0</v>
      </c>
      <c r="D177" s="134"/>
      <c r="E177" s="46"/>
      <c r="F177" s="46"/>
      <c r="G177" s="135"/>
    </row>
    <row r="178" spans="1:7">
      <c r="A178" s="27" t="s">
        <v>319</v>
      </c>
      <c r="B178" s="28" t="s">
        <v>78</v>
      </c>
      <c r="C178" s="40">
        <v>0</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1284</v>
      </c>
      <c r="D181" s="134"/>
      <c r="E181" s="46"/>
      <c r="F181" s="46"/>
      <c r="G181" s="135"/>
    </row>
    <row r="182" spans="1:7">
      <c r="A182" s="23">
        <v>41</v>
      </c>
      <c r="B182" s="41" t="s">
        <v>75</v>
      </c>
      <c r="C182" s="40">
        <v>2511</v>
      </c>
      <c r="D182" s="134"/>
      <c r="E182" s="46"/>
      <c r="F182" s="46"/>
      <c r="G182" s="135"/>
    </row>
    <row r="183" spans="1:7">
      <c r="A183" s="23">
        <v>42</v>
      </c>
      <c r="B183" s="26" t="s">
        <v>320</v>
      </c>
      <c r="C183" s="54">
        <f>SUM(C184:C186)</f>
        <v>3795</v>
      </c>
      <c r="D183" s="134"/>
      <c r="E183" s="46"/>
      <c r="F183" s="46"/>
      <c r="G183" s="135"/>
    </row>
    <row r="184" spans="1:7">
      <c r="A184" s="39" t="s">
        <v>96</v>
      </c>
      <c r="B184" s="28" t="s">
        <v>211</v>
      </c>
      <c r="C184" s="136">
        <v>1636</v>
      </c>
      <c r="D184" s="134"/>
      <c r="E184" s="46"/>
      <c r="F184" s="46"/>
      <c r="G184" s="135"/>
    </row>
    <row r="185" spans="1:7">
      <c r="A185" s="39" t="s">
        <v>97</v>
      </c>
      <c r="B185" s="28" t="s">
        <v>212</v>
      </c>
      <c r="C185" s="40">
        <v>379</v>
      </c>
      <c r="D185" s="140"/>
      <c r="E185" s="141"/>
      <c r="F185" s="46"/>
      <c r="G185" s="135"/>
    </row>
    <row r="186" spans="1:7">
      <c r="A186" s="27" t="s">
        <v>98</v>
      </c>
      <c r="B186" s="28" t="s">
        <v>213</v>
      </c>
      <c r="C186" s="25">
        <v>1780</v>
      </c>
      <c r="D186" s="25"/>
      <c r="E186" s="25"/>
      <c r="F186" s="46"/>
    </row>
    <row r="187" spans="1:7">
      <c r="A187" s="23">
        <v>43</v>
      </c>
      <c r="B187" s="26" t="s">
        <v>321</v>
      </c>
      <c r="C187" s="54">
        <f>SUM(C188:C190)</f>
        <v>0</v>
      </c>
      <c r="D187" s="25"/>
      <c r="E187" s="25"/>
      <c r="F187" s="46"/>
    </row>
    <row r="188" spans="1:7">
      <c r="A188" s="39" t="s">
        <v>100</v>
      </c>
      <c r="B188" s="28" t="s">
        <v>76</v>
      </c>
      <c r="C188" s="40">
        <v>0</v>
      </c>
      <c r="D188" s="25"/>
      <c r="E188" s="25"/>
      <c r="F188" s="46"/>
    </row>
    <row r="189" spans="1:7">
      <c r="A189" s="39" t="s">
        <v>101</v>
      </c>
      <c r="B189" s="28" t="s">
        <v>77</v>
      </c>
      <c r="C189" s="40">
        <v>0</v>
      </c>
      <c r="D189" s="25"/>
      <c r="E189" s="25"/>
      <c r="F189" s="46"/>
    </row>
    <row r="190" spans="1:7">
      <c r="A190" s="25" t="s">
        <v>102</v>
      </c>
      <c r="B190" s="13" t="s">
        <v>78</v>
      </c>
      <c r="C190" s="40">
        <v>0</v>
      </c>
      <c r="D190" s="25"/>
      <c r="E190" s="25"/>
      <c r="F190" s="46"/>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f>SUM(C195:C197)</f>
        <v>155</v>
      </c>
      <c r="D194" s="52">
        <f>SUM(D195:D197)</f>
        <v>0</v>
      </c>
      <c r="E194" s="52">
        <f>SUM(E195:E197)</f>
        <v>0</v>
      </c>
      <c r="F194" s="145"/>
    </row>
    <row r="195" spans="1:6">
      <c r="A195" s="25" t="s">
        <v>121</v>
      </c>
      <c r="B195" s="13" t="s">
        <v>181</v>
      </c>
      <c r="C195" s="40">
        <v>154</v>
      </c>
      <c r="D195" s="25"/>
      <c r="E195" s="25"/>
      <c r="F195" s="46"/>
    </row>
    <row r="196" spans="1:6">
      <c r="A196" s="25" t="s">
        <v>122</v>
      </c>
      <c r="B196" s="13" t="s">
        <v>182</v>
      </c>
      <c r="C196" s="40">
        <v>1</v>
      </c>
      <c r="D196" s="25"/>
      <c r="E196" s="25"/>
      <c r="F196" s="46"/>
    </row>
    <row r="197" spans="1:6">
      <c r="A197" s="27" t="s">
        <v>123</v>
      </c>
      <c r="B197" s="13" t="s">
        <v>180</v>
      </c>
      <c r="C197" s="40">
        <v>0</v>
      </c>
      <c r="D197" s="25"/>
      <c r="E197" s="25"/>
      <c r="F197" s="46"/>
    </row>
    <row r="198" spans="1:6">
      <c r="A198" s="30">
        <v>45</v>
      </c>
      <c r="B198" s="6" t="s">
        <v>324</v>
      </c>
      <c r="C198" s="54">
        <f>SUM(C199:C201)</f>
        <v>2670</v>
      </c>
      <c r="D198" s="52">
        <f>SUM(D199:D201)</f>
        <v>0</v>
      </c>
      <c r="E198" s="52">
        <f>SUM(E199:E201)</f>
        <v>0</v>
      </c>
      <c r="F198" s="145"/>
    </row>
    <row r="199" spans="1:6">
      <c r="A199" s="25" t="s">
        <v>325</v>
      </c>
      <c r="B199" s="13" t="s">
        <v>80</v>
      </c>
      <c r="C199" s="40">
        <v>2648</v>
      </c>
      <c r="D199" s="25"/>
      <c r="E199" s="25"/>
      <c r="F199" s="46"/>
    </row>
    <row r="200" spans="1:6">
      <c r="A200" s="25" t="s">
        <v>326</v>
      </c>
      <c r="B200" s="13" t="s">
        <v>60</v>
      </c>
      <c r="C200" s="40">
        <v>22</v>
      </c>
      <c r="D200" s="25"/>
      <c r="E200" s="25"/>
      <c r="F200" s="46"/>
    </row>
    <row r="201" spans="1:6">
      <c r="A201" s="27" t="s">
        <v>327</v>
      </c>
      <c r="B201" s="13" t="s">
        <v>180</v>
      </c>
      <c r="C201" s="40">
        <v>0</v>
      </c>
      <c r="D201" s="25"/>
      <c r="E201" s="25"/>
      <c r="F201" s="46"/>
    </row>
    <row r="202" spans="1:6">
      <c r="A202" s="44"/>
      <c r="B202" s="45"/>
      <c r="C202" s="46"/>
      <c r="D202" s="146"/>
      <c r="E202" s="147"/>
      <c r="F202" s="46"/>
    </row>
    <row r="203" spans="1:6">
      <c r="A203" s="30">
        <v>46</v>
      </c>
      <c r="B203" s="10" t="s">
        <v>203</v>
      </c>
      <c r="C203" s="40">
        <v>35.5</v>
      </c>
      <c r="D203" s="25"/>
      <c r="E203" s="25"/>
      <c r="F203" s="46"/>
    </row>
    <row r="204" spans="1:6">
      <c r="A204" s="30">
        <v>47</v>
      </c>
      <c r="B204" s="49" t="s">
        <v>204</v>
      </c>
      <c r="C204" s="40">
        <v>326</v>
      </c>
      <c r="D204" s="25"/>
      <c r="E204" s="25"/>
      <c r="F204" s="46"/>
    </row>
    <row r="205" spans="1:6">
      <c r="A205" s="30">
        <v>48</v>
      </c>
      <c r="B205" s="10" t="s">
        <v>179</v>
      </c>
      <c r="C205" s="40">
        <v>7</v>
      </c>
      <c r="D205" s="25"/>
      <c r="E205" s="25"/>
      <c r="F205" s="46"/>
    </row>
    <row r="206" spans="1:6">
      <c r="A206" s="30">
        <v>49</v>
      </c>
      <c r="B206" s="10" t="s">
        <v>61</v>
      </c>
      <c r="C206" s="40">
        <v>139</v>
      </c>
      <c r="D206" s="25"/>
      <c r="E206" s="25"/>
      <c r="F206" s="46"/>
    </row>
    <row r="207" spans="1:6">
      <c r="A207" s="204">
        <v>50</v>
      </c>
      <c r="B207" s="48" t="s">
        <v>202</v>
      </c>
      <c r="C207" s="47">
        <v>0</v>
      </c>
      <c r="D207" s="149"/>
      <c r="E207" s="150"/>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c r="D211" s="52"/>
      <c r="E211" s="9"/>
      <c r="F211" s="10"/>
    </row>
    <row r="212" spans="1:6" s="1" customFormat="1">
      <c r="A212" s="27" t="s">
        <v>329</v>
      </c>
      <c r="B212" s="13" t="s">
        <v>226</v>
      </c>
      <c r="C212" s="9"/>
      <c r="D212" s="9"/>
      <c r="E212" s="9">
        <v>81</v>
      </c>
      <c r="F212" s="10"/>
    </row>
    <row r="213" spans="1:6" s="1" customFormat="1">
      <c r="A213" s="27" t="s">
        <v>330</v>
      </c>
      <c r="B213" s="35" t="s">
        <v>128</v>
      </c>
      <c r="C213" s="9">
        <v>4</v>
      </c>
      <c r="D213" s="9">
        <v>0</v>
      </c>
      <c r="E213" s="9" t="s">
        <v>529</v>
      </c>
      <c r="F213" s="10"/>
    </row>
    <row r="214" spans="1:6" s="1" customFormat="1">
      <c r="A214" s="27" t="s">
        <v>331</v>
      </c>
      <c r="B214" s="13" t="s">
        <v>227</v>
      </c>
      <c r="C214" s="9">
        <v>0</v>
      </c>
      <c r="D214" s="9">
        <v>0</v>
      </c>
      <c r="E214" s="9">
        <v>67</v>
      </c>
      <c r="F214" s="10"/>
    </row>
    <row r="215" spans="1:6" s="1" customFormat="1">
      <c r="A215" s="27" t="s">
        <v>332</v>
      </c>
      <c r="B215" s="35" t="s">
        <v>130</v>
      </c>
      <c r="C215" s="9">
        <v>0</v>
      </c>
      <c r="D215" s="9">
        <v>0</v>
      </c>
      <c r="E215" s="9"/>
      <c r="F215" s="10"/>
    </row>
    <row r="216" spans="1:6" s="1" customFormat="1">
      <c r="A216" s="27" t="s">
        <v>333</v>
      </c>
      <c r="B216" s="13" t="s">
        <v>232</v>
      </c>
      <c r="C216" s="9">
        <v>0</v>
      </c>
      <c r="D216" s="9">
        <v>0</v>
      </c>
      <c r="E216" s="9">
        <v>7</v>
      </c>
      <c r="F216" s="10"/>
    </row>
    <row r="217" spans="1:6" s="1" customFormat="1">
      <c r="A217" s="27" t="s">
        <v>334</v>
      </c>
      <c r="B217" s="35" t="s">
        <v>131</v>
      </c>
      <c r="C217" s="9"/>
      <c r="D217" s="9">
        <v>0</v>
      </c>
      <c r="E217" s="9"/>
      <c r="F217" s="10"/>
    </row>
    <row r="218" spans="1:6" s="1" customFormat="1">
      <c r="A218" s="27" t="s">
        <v>335</v>
      </c>
      <c r="B218" s="13" t="s">
        <v>233</v>
      </c>
      <c r="C218" s="9">
        <v>30</v>
      </c>
      <c r="D218" s="9">
        <v>0</v>
      </c>
      <c r="E218" s="9">
        <v>41</v>
      </c>
      <c r="F218" s="10"/>
    </row>
    <row r="219" spans="1:6" s="1" customFormat="1">
      <c r="A219" s="27" t="s">
        <v>336</v>
      </c>
      <c r="B219" s="35" t="s">
        <v>132</v>
      </c>
      <c r="C219" s="9">
        <v>0</v>
      </c>
      <c r="D219" s="9">
        <v>0</v>
      </c>
      <c r="E219" s="9">
        <v>0</v>
      </c>
      <c r="F219" s="10"/>
    </row>
    <row r="220" spans="1:6" s="1" customFormat="1">
      <c r="A220" s="27" t="s">
        <v>337</v>
      </c>
      <c r="B220" s="13" t="s">
        <v>234</v>
      </c>
      <c r="C220" s="9">
        <v>10</v>
      </c>
      <c r="D220" s="9">
        <v>0</v>
      </c>
      <c r="E220" s="9"/>
      <c r="F220" s="10"/>
    </row>
    <row r="221" spans="1:6" s="1" customFormat="1">
      <c r="A221" s="27" t="s">
        <v>338</v>
      </c>
      <c r="B221" s="35" t="s">
        <v>133</v>
      </c>
      <c r="C221" s="9">
        <v>4</v>
      </c>
      <c r="D221" s="9">
        <v>0</v>
      </c>
      <c r="E221" s="9"/>
      <c r="F221" s="10"/>
    </row>
    <row r="222" spans="1:6" s="1" customFormat="1">
      <c r="A222" s="27" t="s">
        <v>339</v>
      </c>
      <c r="B222" s="13" t="s">
        <v>235</v>
      </c>
      <c r="C222" s="9">
        <v>0</v>
      </c>
      <c r="D222" s="9">
        <v>0</v>
      </c>
      <c r="E222" s="9">
        <v>0</v>
      </c>
      <c r="F222" s="10"/>
    </row>
    <row r="223" spans="1:6" s="1" customFormat="1">
      <c r="A223" s="27" t="s">
        <v>340</v>
      </c>
      <c r="B223" s="35" t="s">
        <v>134</v>
      </c>
      <c r="C223" s="9">
        <v>0</v>
      </c>
      <c r="D223" s="9">
        <v>0</v>
      </c>
      <c r="E223" s="9">
        <v>0</v>
      </c>
      <c r="F223" s="10"/>
    </row>
    <row r="224" spans="1:6" s="1" customFormat="1">
      <c r="A224" s="27" t="s">
        <v>341</v>
      </c>
      <c r="B224" s="13" t="s">
        <v>236</v>
      </c>
      <c r="C224" s="9">
        <v>0</v>
      </c>
      <c r="D224" s="9">
        <v>0</v>
      </c>
      <c r="E224" s="9">
        <v>0</v>
      </c>
      <c r="F224" s="10"/>
    </row>
    <row r="225" spans="1:8" s="1" customFormat="1">
      <c r="A225" s="27" t="s">
        <v>342</v>
      </c>
      <c r="B225" s="35" t="s">
        <v>135</v>
      </c>
      <c r="C225" s="9">
        <v>0</v>
      </c>
      <c r="D225" s="9">
        <v>0</v>
      </c>
      <c r="E225" s="9">
        <v>0</v>
      </c>
      <c r="F225" s="10"/>
    </row>
    <row r="226" spans="1:8" s="1" customFormat="1">
      <c r="A226" s="27" t="s">
        <v>343</v>
      </c>
      <c r="B226" s="13" t="s">
        <v>237</v>
      </c>
      <c r="C226" s="9">
        <v>0</v>
      </c>
      <c r="D226" s="9">
        <v>0</v>
      </c>
      <c r="E226" s="9">
        <v>0</v>
      </c>
      <c r="F226" s="10"/>
    </row>
    <row r="227" spans="1:8" s="1" customFormat="1" ht="25.5">
      <c r="A227" s="27" t="s">
        <v>344</v>
      </c>
      <c r="B227" s="152" t="s">
        <v>136</v>
      </c>
      <c r="C227" s="9">
        <v>0</v>
      </c>
      <c r="D227" s="9">
        <v>0</v>
      </c>
      <c r="E227" s="9">
        <v>0</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97">
        <v>12899</v>
      </c>
      <c r="D230" s="47"/>
      <c r="E230" s="47"/>
      <c r="F230" s="47"/>
    </row>
    <row r="231" spans="1:8">
      <c r="A231" s="27" t="s">
        <v>347</v>
      </c>
      <c r="B231" s="152" t="s">
        <v>115</v>
      </c>
      <c r="C231" s="164" t="s">
        <v>400</v>
      </c>
      <c r="D231" s="47"/>
      <c r="E231" s="47"/>
      <c r="F231" s="47"/>
    </row>
    <row r="232" spans="1:8" ht="25.5">
      <c r="A232" s="27" t="s">
        <v>348</v>
      </c>
      <c r="B232" s="155" t="s">
        <v>239</v>
      </c>
      <c r="C232" s="164" t="s">
        <v>400</v>
      </c>
      <c r="D232" s="47"/>
      <c r="E232" s="47"/>
      <c r="F232" s="47"/>
    </row>
    <row r="233" spans="1:8">
      <c r="A233" s="27" t="s">
        <v>349</v>
      </c>
      <c r="B233" s="152" t="s">
        <v>116</v>
      </c>
      <c r="C233" s="164" t="s">
        <v>400</v>
      </c>
      <c r="D233" s="47"/>
      <c r="E233" s="47"/>
      <c r="F233" s="47"/>
    </row>
    <row r="234" spans="1:8" ht="25.5">
      <c r="A234" s="27" t="s">
        <v>350</v>
      </c>
      <c r="B234" s="155" t="s">
        <v>240</v>
      </c>
      <c r="C234" s="164" t="s">
        <v>400</v>
      </c>
      <c r="D234" s="47"/>
      <c r="E234" s="47"/>
      <c r="F234" s="47"/>
    </row>
    <row r="235" spans="1:8">
      <c r="A235" s="27" t="s">
        <v>351</v>
      </c>
      <c r="B235" s="152" t="s">
        <v>117</v>
      </c>
      <c r="C235" s="206" t="s">
        <v>400</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83</v>
      </c>
      <c r="D239" s="25"/>
      <c r="E239" s="40"/>
      <c r="F239" s="40"/>
      <c r="G239" s="10"/>
      <c r="H239" s="3"/>
    </row>
    <row r="240" spans="1:8">
      <c r="A240" s="30">
        <v>53</v>
      </c>
      <c r="B240" s="10" t="s">
        <v>63</v>
      </c>
      <c r="C240" s="25">
        <v>12266</v>
      </c>
      <c r="D240" s="25"/>
      <c r="E240" s="40"/>
      <c r="F240" s="40"/>
      <c r="G240" s="10"/>
      <c r="H240" s="3"/>
    </row>
    <row r="241" spans="1:10">
      <c r="A241" s="30">
        <v>54</v>
      </c>
      <c r="B241" s="10" t="s">
        <v>215</v>
      </c>
      <c r="C241" s="25">
        <v>57</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32</v>
      </c>
      <c r="D245" s="52">
        <f>SUM(D246:D251)</f>
        <v>47</v>
      </c>
      <c r="E245" s="54">
        <f>SUM(E246:E251)</f>
        <v>89</v>
      </c>
      <c r="F245" s="54">
        <f>SUM(F246:F251)</f>
        <v>17</v>
      </c>
      <c r="G245" s="52">
        <f>SUM(C245:F245)</f>
        <v>185</v>
      </c>
      <c r="H245" s="145"/>
    </row>
    <row r="246" spans="1:10">
      <c r="A246" s="25" t="s">
        <v>353</v>
      </c>
      <c r="B246" s="13" t="s">
        <v>64</v>
      </c>
      <c r="C246" s="25">
        <v>32</v>
      </c>
      <c r="D246" s="25">
        <v>45</v>
      </c>
      <c r="E246" s="40">
        <v>77</v>
      </c>
      <c r="F246" s="40">
        <v>16</v>
      </c>
      <c r="G246" s="52">
        <f t="shared" ref="G246:G250" si="0">SUM(C246:F246)</f>
        <v>170</v>
      </c>
      <c r="H246" s="3"/>
      <c r="J246" s="25"/>
    </row>
    <row r="247" spans="1:10">
      <c r="A247" s="27" t="s">
        <v>354</v>
      </c>
      <c r="B247" s="13" t="s">
        <v>65</v>
      </c>
      <c r="C247" s="25">
        <v>0</v>
      </c>
      <c r="D247" s="25">
        <v>0</v>
      </c>
      <c r="E247" s="40">
        <v>0</v>
      </c>
      <c r="F247" s="40">
        <v>0</v>
      </c>
      <c r="G247" s="52">
        <f t="shared" si="0"/>
        <v>0</v>
      </c>
      <c r="H247" s="3"/>
    </row>
    <row r="248" spans="1:10">
      <c r="A248" s="27" t="s">
        <v>355</v>
      </c>
      <c r="B248" s="13" t="s">
        <v>66</v>
      </c>
      <c r="C248" s="25">
        <v>0</v>
      </c>
      <c r="D248" s="25">
        <v>1</v>
      </c>
      <c r="E248" s="40">
        <v>4</v>
      </c>
      <c r="F248" s="40">
        <v>1</v>
      </c>
      <c r="G248" s="52">
        <f t="shared" si="0"/>
        <v>6</v>
      </c>
      <c r="H248" s="3"/>
    </row>
    <row r="249" spans="1:10">
      <c r="A249" s="27" t="s">
        <v>356</v>
      </c>
      <c r="B249" s="13" t="s">
        <v>67</v>
      </c>
      <c r="C249" s="25">
        <v>0</v>
      </c>
      <c r="D249" s="25">
        <v>0</v>
      </c>
      <c r="E249" s="40">
        <v>4</v>
      </c>
      <c r="F249" s="40">
        <v>0</v>
      </c>
      <c r="G249" s="52">
        <f t="shared" si="0"/>
        <v>4</v>
      </c>
      <c r="H249" s="3"/>
    </row>
    <row r="250" spans="1:10">
      <c r="A250" s="25" t="s">
        <v>357</v>
      </c>
      <c r="B250" s="13" t="s">
        <v>68</v>
      </c>
      <c r="C250" s="25">
        <v>0</v>
      </c>
      <c r="D250" s="25">
        <v>1</v>
      </c>
      <c r="E250" s="40">
        <v>4</v>
      </c>
      <c r="F250" s="40">
        <v>0</v>
      </c>
      <c r="G250" s="52">
        <f t="shared" si="0"/>
        <v>5</v>
      </c>
      <c r="H250" s="3"/>
    </row>
    <row r="251" spans="1:10" ht="24.75">
      <c r="A251" s="27" t="s">
        <v>358</v>
      </c>
      <c r="B251" s="155" t="s">
        <v>183</v>
      </c>
      <c r="C251" s="25"/>
      <c r="D251" s="25"/>
      <c r="E251" s="40"/>
      <c r="F251" s="40"/>
      <c r="G251" s="52" t="s">
        <v>555</v>
      </c>
      <c r="H251" s="3"/>
    </row>
    <row r="252" spans="1:10" ht="15">
      <c r="B252" s="207"/>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legacyDrawing r:id="rId2"/>
</worksheet>
</file>

<file path=xl/worksheets/sheet14.xml><?xml version="1.0" encoding="utf-8"?>
<worksheet xmlns="http://schemas.openxmlformats.org/spreadsheetml/2006/main" xmlns:r="http://schemas.openxmlformats.org/officeDocument/2006/relationships">
  <dimension ref="A1:K252"/>
  <sheetViews>
    <sheetView topLeftCell="A35" workbookViewId="0">
      <selection activeCell="C38" sqref="C38"/>
    </sheetView>
  </sheetViews>
  <sheetFormatPr defaultRowHeight="12.75"/>
  <cols>
    <col min="1" max="1" width="11.28515625" customWidth="1"/>
    <col min="2" max="2" width="68.7109375" style="296" customWidth="1"/>
    <col min="3" max="3" width="12.42578125" style="297" customWidth="1"/>
    <col min="4" max="4" width="11.140625" style="298" customWidth="1"/>
    <col min="5" max="5" width="14.7109375" style="298" customWidth="1"/>
    <col min="6" max="6" width="6.28515625" customWidth="1"/>
    <col min="7" max="7" width="9.85546875" customWidth="1"/>
    <col min="8" max="8" width="18.28515625" style="299" customWidth="1"/>
    <col min="9" max="9" width="11.28515625" customWidth="1"/>
  </cols>
  <sheetData>
    <row r="1" spans="1:9" ht="18">
      <c r="A1" s="65"/>
      <c r="B1" s="65" t="s">
        <v>241</v>
      </c>
      <c r="C1" s="277"/>
      <c r="D1" s="278" t="s">
        <v>393</v>
      </c>
      <c r="E1" s="279"/>
      <c r="F1" s="67"/>
      <c r="G1" s="67"/>
      <c r="H1" s="280"/>
      <c r="I1" s="172"/>
    </row>
    <row r="2" spans="1:9">
      <c r="A2" s="69"/>
      <c r="B2" s="281"/>
      <c r="C2" s="282"/>
      <c r="D2" s="283"/>
      <c r="E2" s="283"/>
      <c r="F2" s="69"/>
      <c r="G2" s="69"/>
      <c r="H2" s="284"/>
      <c r="I2" s="172"/>
    </row>
    <row r="3" spans="1:9" ht="15.75">
      <c r="A3" s="70" t="s">
        <v>161</v>
      </c>
      <c r="B3" s="285" t="s">
        <v>605</v>
      </c>
      <c r="C3" s="286"/>
      <c r="D3" s="287" t="s">
        <v>185</v>
      </c>
      <c r="E3" s="288"/>
      <c r="F3" s="72"/>
      <c r="G3" s="72"/>
      <c r="H3" s="284"/>
      <c r="I3" s="172"/>
    </row>
    <row r="4" spans="1:9">
      <c r="A4" s="69"/>
      <c r="B4" s="281"/>
      <c r="C4" s="282"/>
      <c r="D4" s="283"/>
      <c r="E4" s="283"/>
      <c r="F4" s="69"/>
      <c r="G4" s="69"/>
      <c r="H4" s="284"/>
      <c r="I4" s="172"/>
    </row>
    <row r="5" spans="1:9" ht="12.75" customHeight="1">
      <c r="A5" s="1231" t="s">
        <v>189</v>
      </c>
      <c r="B5" s="285" t="s">
        <v>606</v>
      </c>
      <c r="C5" s="286"/>
      <c r="D5" s="289" t="s">
        <v>186</v>
      </c>
      <c r="E5" s="288"/>
      <c r="F5" s="72"/>
      <c r="G5" s="72"/>
      <c r="H5" s="284"/>
      <c r="I5" s="172"/>
    </row>
    <row r="6" spans="1:9" ht="20.25" customHeight="1">
      <c r="A6" s="1231"/>
      <c r="B6" s="290"/>
      <c r="C6" s="282"/>
      <c r="D6" s="291" t="s">
        <v>187</v>
      </c>
      <c r="E6" s="283"/>
      <c r="F6" s="69"/>
      <c r="G6" s="69"/>
      <c r="H6" s="284"/>
      <c r="I6" s="172"/>
    </row>
    <row r="7" spans="1:9" ht="12.75" customHeight="1">
      <c r="A7" s="1231" t="s">
        <v>184</v>
      </c>
      <c r="B7" s="285" t="s">
        <v>607</v>
      </c>
      <c r="C7" s="286"/>
      <c r="D7" s="288"/>
      <c r="E7" s="288"/>
      <c r="F7" s="72"/>
      <c r="G7" s="72"/>
      <c r="H7" s="284"/>
      <c r="I7" s="172"/>
    </row>
    <row r="8" spans="1:9">
      <c r="A8" s="1231"/>
      <c r="B8" s="281"/>
      <c r="C8" s="286"/>
      <c r="D8" s="291" t="s">
        <v>188</v>
      </c>
      <c r="E8" s="283"/>
      <c r="F8" s="69"/>
      <c r="G8" s="69"/>
      <c r="H8" s="284"/>
      <c r="I8" s="172"/>
    </row>
    <row r="9" spans="1:9">
      <c r="A9" s="76" t="s">
        <v>190</v>
      </c>
      <c r="B9" s="292" t="s">
        <v>608</v>
      </c>
      <c r="C9" s="286"/>
      <c r="D9" s="283"/>
      <c r="E9" s="283"/>
      <c r="F9" s="69"/>
      <c r="G9" s="69"/>
      <c r="H9" s="284"/>
      <c r="I9" s="172"/>
    </row>
    <row r="10" spans="1:9">
      <c r="A10" s="67"/>
      <c r="B10" s="281"/>
      <c r="C10" s="282"/>
      <c r="D10" s="293" t="s">
        <v>242</v>
      </c>
      <c r="E10" s="283"/>
      <c r="F10" s="78"/>
      <c r="G10" s="78"/>
      <c r="H10" s="284"/>
      <c r="I10" s="172"/>
    </row>
    <row r="11" spans="1:9">
      <c r="A11" s="79" t="s">
        <v>162</v>
      </c>
      <c r="B11" s="285" t="s">
        <v>609</v>
      </c>
      <c r="C11" s="286"/>
      <c r="D11" s="283"/>
      <c r="E11" s="283"/>
      <c r="F11" s="69"/>
      <c r="G11" s="69"/>
      <c r="H11" s="284"/>
      <c r="I11" s="172"/>
    </row>
    <row r="12" spans="1:9">
      <c r="A12" s="69"/>
      <c r="B12" s="281"/>
      <c r="C12" s="282"/>
      <c r="D12" s="279"/>
      <c r="E12" s="283"/>
      <c r="F12" s="69"/>
      <c r="G12" s="69"/>
      <c r="H12" s="284"/>
      <c r="I12" s="172"/>
    </row>
    <row r="13" spans="1:9">
      <c r="A13" s="1232" t="s">
        <v>163</v>
      </c>
      <c r="B13" s="285" t="s">
        <v>610</v>
      </c>
      <c r="C13" s="286"/>
      <c r="D13" s="288"/>
      <c r="E13" s="283"/>
      <c r="F13" s="69"/>
      <c r="G13" s="69"/>
      <c r="H13" s="284"/>
      <c r="I13" s="172"/>
    </row>
    <row r="14" spans="1:9">
      <c r="A14" s="1232"/>
      <c r="B14" s="281"/>
      <c r="C14" s="294"/>
      <c r="D14" s="295"/>
      <c r="E14" s="295"/>
      <c r="F14" s="172"/>
      <c r="G14" s="172"/>
      <c r="H14" s="284"/>
      <c r="I14" s="172"/>
    </row>
    <row r="16" spans="1:9" ht="13.5">
      <c r="A16" s="1226" t="s">
        <v>359</v>
      </c>
      <c r="B16" s="1233"/>
      <c r="C16" s="1224"/>
      <c r="D16" s="1224"/>
      <c r="E16" s="1224"/>
      <c r="F16" s="1224"/>
      <c r="G16" s="1224"/>
      <c r="H16" s="1225"/>
      <c r="I16" s="80"/>
    </row>
    <row r="17" spans="1:9">
      <c r="A17" s="5" t="s">
        <v>86</v>
      </c>
      <c r="B17" s="300" t="s">
        <v>8</v>
      </c>
      <c r="C17" s="301" t="s">
        <v>0</v>
      </c>
      <c r="D17" s="1361" t="s">
        <v>149</v>
      </c>
      <c r="E17" s="1361"/>
      <c r="F17" s="81"/>
      <c r="G17" s="81"/>
      <c r="H17" s="302"/>
      <c r="I17" s="83"/>
    </row>
    <row r="18" spans="1:9">
      <c r="A18" s="5">
        <v>1</v>
      </c>
      <c r="B18" s="300" t="s">
        <v>1</v>
      </c>
      <c r="C18" s="303">
        <v>0</v>
      </c>
      <c r="D18" s="1346"/>
      <c r="E18" s="1346"/>
      <c r="F18" s="84"/>
      <c r="G18" s="84"/>
      <c r="H18" s="302"/>
      <c r="I18" s="72"/>
    </row>
    <row r="19" spans="1:9" ht="25.5">
      <c r="A19" s="11" t="s">
        <v>111</v>
      </c>
      <c r="B19" s="86" t="s">
        <v>228</v>
      </c>
      <c r="C19" s="303">
        <v>0</v>
      </c>
      <c r="D19" s="1346"/>
      <c r="E19" s="1346"/>
      <c r="F19" s="84"/>
      <c r="G19" s="302"/>
      <c r="I19" s="72"/>
    </row>
    <row r="20" spans="1:9" ht="25.5">
      <c r="A20" s="11" t="s">
        <v>112</v>
      </c>
      <c r="B20" s="86" t="s">
        <v>229</v>
      </c>
      <c r="C20" s="303">
        <v>0</v>
      </c>
      <c r="D20" s="1346"/>
      <c r="E20" s="1346"/>
      <c r="F20" s="84"/>
      <c r="G20" s="302"/>
      <c r="I20" s="72"/>
    </row>
    <row r="21" spans="1:9" ht="25.5">
      <c r="A21" s="11" t="s">
        <v>113</v>
      </c>
      <c r="B21" s="87" t="s">
        <v>230</v>
      </c>
      <c r="C21" s="303">
        <v>0</v>
      </c>
      <c r="D21" s="1346"/>
      <c r="E21" s="1346"/>
      <c r="F21" s="84"/>
      <c r="G21" s="302"/>
      <c r="I21" s="72"/>
    </row>
    <row r="22" spans="1:9" ht="25.5">
      <c r="A22" s="11" t="s">
        <v>114</v>
      </c>
      <c r="B22" s="87" t="s">
        <v>611</v>
      </c>
      <c r="C22" s="303">
        <v>1</v>
      </c>
      <c r="D22" s="1361" t="s">
        <v>612</v>
      </c>
      <c r="E22" s="1361"/>
      <c r="F22" s="84"/>
      <c r="G22" s="302"/>
      <c r="I22" s="72"/>
    </row>
    <row r="23" spans="1:9">
      <c r="A23" s="1222"/>
      <c r="B23" s="1223"/>
      <c r="C23" s="1224"/>
      <c r="D23" s="1224"/>
      <c r="E23" s="1224"/>
      <c r="F23" s="1224"/>
      <c r="G23" s="1224"/>
      <c r="H23" s="1225"/>
      <c r="I23" s="80"/>
    </row>
    <row r="24" spans="1:9" ht="13.5">
      <c r="A24" s="1226" t="s">
        <v>360</v>
      </c>
      <c r="B24" s="1230"/>
      <c r="C24" s="1230"/>
      <c r="D24" s="1230"/>
      <c r="E24" s="1230"/>
      <c r="F24" s="1230"/>
      <c r="G24" s="1230"/>
      <c r="H24" s="1225"/>
      <c r="I24" s="80"/>
    </row>
    <row r="25" spans="1:9">
      <c r="A25" s="5" t="s">
        <v>86</v>
      </c>
      <c r="B25" s="300" t="s">
        <v>8</v>
      </c>
      <c r="C25" s="301" t="s">
        <v>2</v>
      </c>
      <c r="D25" s="1361" t="s">
        <v>149</v>
      </c>
      <c r="E25" s="1361"/>
      <c r="F25" s="81"/>
      <c r="G25" s="81"/>
      <c r="H25" s="302"/>
      <c r="I25" s="83"/>
    </row>
    <row r="26" spans="1:9">
      <c r="A26" s="5">
        <v>2</v>
      </c>
      <c r="B26" s="300" t="s">
        <v>243</v>
      </c>
      <c r="C26" s="304">
        <f>SUM(C27:C30)</f>
        <v>32</v>
      </c>
      <c r="D26" s="1346"/>
      <c r="E26" s="1346"/>
      <c r="F26" s="84"/>
      <c r="G26" s="302"/>
      <c r="I26" s="72"/>
    </row>
    <row r="27" spans="1:9">
      <c r="A27" s="8" t="s">
        <v>3</v>
      </c>
      <c r="B27" s="12" t="s">
        <v>4</v>
      </c>
      <c r="C27" s="303">
        <v>28</v>
      </c>
      <c r="D27" s="1346"/>
      <c r="E27" s="1346"/>
      <c r="F27" s="84"/>
      <c r="G27" s="302"/>
      <c r="I27" s="72"/>
    </row>
    <row r="28" spans="1:9">
      <c r="A28" s="11" t="s">
        <v>5</v>
      </c>
      <c r="B28" s="12" t="s">
        <v>144</v>
      </c>
      <c r="C28" s="303">
        <v>2</v>
      </c>
      <c r="D28" s="1346"/>
      <c r="E28" s="1346"/>
      <c r="F28" s="84"/>
      <c r="G28" s="302"/>
      <c r="I28" s="72"/>
    </row>
    <row r="29" spans="1:9">
      <c r="A29" s="8" t="s">
        <v>145</v>
      </c>
      <c r="B29" s="12" t="s">
        <v>146</v>
      </c>
      <c r="C29" s="303">
        <v>2</v>
      </c>
      <c r="D29" s="1359"/>
      <c r="E29" s="1371"/>
      <c r="F29" s="174"/>
      <c r="G29" s="302"/>
      <c r="I29" s="72"/>
    </row>
    <row r="30" spans="1:9">
      <c r="A30" s="8" t="s">
        <v>244</v>
      </c>
      <c r="B30" s="12" t="s">
        <v>245</v>
      </c>
      <c r="C30" s="303">
        <v>0</v>
      </c>
      <c r="D30" s="305"/>
      <c r="E30" s="306"/>
      <c r="F30" s="174"/>
      <c r="G30" s="302"/>
      <c r="I30" s="72"/>
    </row>
    <row r="31" spans="1:9">
      <c r="A31" s="5">
        <v>3</v>
      </c>
      <c r="B31" s="300" t="s">
        <v>14</v>
      </c>
      <c r="C31" s="304">
        <f>SUM(C32:C34)</f>
        <v>55</v>
      </c>
      <c r="D31" s="1346"/>
      <c r="E31" s="1346"/>
      <c r="F31" s="84"/>
      <c r="G31" s="302"/>
      <c r="I31" s="72"/>
    </row>
    <row r="32" spans="1:9">
      <c r="A32" s="8" t="s">
        <v>6</v>
      </c>
      <c r="B32" s="12" t="s">
        <v>7</v>
      </c>
      <c r="C32" s="303">
        <v>28</v>
      </c>
      <c r="D32" s="1346"/>
      <c r="E32" s="1346"/>
      <c r="F32" s="84"/>
      <c r="G32" s="302"/>
      <c r="I32" s="72"/>
    </row>
    <row r="33" spans="1:9">
      <c r="A33" s="11" t="s">
        <v>12</v>
      </c>
      <c r="B33" s="12" t="s">
        <v>15</v>
      </c>
      <c r="C33" s="303">
        <v>23</v>
      </c>
      <c r="D33" s="1346"/>
      <c r="E33" s="1346"/>
      <c r="F33" s="84"/>
      <c r="G33" s="302"/>
      <c r="I33" s="72"/>
    </row>
    <row r="34" spans="1:9">
      <c r="A34" s="11" t="s">
        <v>13</v>
      </c>
      <c r="B34" s="12" t="s">
        <v>148</v>
      </c>
      <c r="C34" s="303">
        <v>4</v>
      </c>
      <c r="D34" s="1346"/>
      <c r="E34" s="1346"/>
      <c r="F34" s="84"/>
      <c r="G34" s="302"/>
      <c r="I34" s="72"/>
    </row>
    <row r="35" spans="1:9">
      <c r="A35" s="5">
        <v>4</v>
      </c>
      <c r="B35" s="300" t="s">
        <v>17</v>
      </c>
      <c r="C35" s="301">
        <v>1</v>
      </c>
      <c r="D35" s="1346"/>
      <c r="E35" s="1346"/>
      <c r="F35" s="84"/>
      <c r="G35" s="302"/>
      <c r="I35" s="72"/>
    </row>
    <row r="36" spans="1:9">
      <c r="A36" s="11" t="s">
        <v>16</v>
      </c>
      <c r="B36" s="12" t="s">
        <v>84</v>
      </c>
      <c r="C36" s="303">
        <v>0</v>
      </c>
      <c r="D36" s="1346"/>
      <c r="E36" s="1346"/>
      <c r="F36" s="84"/>
      <c r="G36" s="302"/>
      <c r="I36" s="72"/>
    </row>
    <row r="37" spans="1:9" ht="25.5">
      <c r="A37" s="5">
        <v>5</v>
      </c>
      <c r="B37" s="22" t="s">
        <v>26</v>
      </c>
      <c r="C37" s="301">
        <v>40</v>
      </c>
      <c r="D37" s="1346"/>
      <c r="E37" s="1346"/>
      <c r="F37" s="84"/>
      <c r="G37" s="302"/>
      <c r="I37" s="72"/>
    </row>
    <row r="38" spans="1:9">
      <c r="A38" s="17" t="s">
        <v>147</v>
      </c>
      <c r="B38" s="300" t="s">
        <v>150</v>
      </c>
      <c r="C38" s="307">
        <v>0.2</v>
      </c>
      <c r="D38" s="1361"/>
      <c r="E38" s="1361"/>
      <c r="F38" s="81"/>
      <c r="G38" s="302"/>
      <c r="I38" s="72"/>
    </row>
    <row r="39" spans="1:9">
      <c r="A39" s="5">
        <v>6</v>
      </c>
      <c r="B39" s="300" t="s">
        <v>85</v>
      </c>
      <c r="C39" s="304">
        <f>+C26+C31+C35+C37</f>
        <v>128</v>
      </c>
      <c r="D39" s="1346"/>
      <c r="E39" s="1346"/>
      <c r="F39" s="84"/>
      <c r="G39" s="302"/>
      <c r="I39" s="72"/>
    </row>
    <row r="40" spans="1:9">
      <c r="A40" s="1222"/>
      <c r="B40" s="1223"/>
      <c r="C40" s="1224"/>
      <c r="D40" s="1224"/>
      <c r="E40" s="1224"/>
      <c r="F40" s="1224"/>
      <c r="G40" s="1224"/>
      <c r="H40" s="1225"/>
      <c r="I40" s="80"/>
    </row>
    <row r="41" spans="1:9" ht="15.75">
      <c r="A41" s="1226" t="s">
        <v>361</v>
      </c>
      <c r="B41" s="1227"/>
      <c r="C41" s="1227"/>
      <c r="D41" s="1227"/>
      <c r="E41" s="1227"/>
      <c r="F41" s="1227"/>
      <c r="G41" s="1227"/>
      <c r="H41" s="1228"/>
      <c r="I41" s="91"/>
    </row>
    <row r="42" spans="1:9">
      <c r="A42" s="5" t="s">
        <v>86</v>
      </c>
      <c r="B42" s="300" t="s">
        <v>8</v>
      </c>
      <c r="C42" s="301" t="s">
        <v>9</v>
      </c>
      <c r="D42" s="1361" t="s">
        <v>149</v>
      </c>
      <c r="E42" s="1361"/>
      <c r="F42" s="81"/>
      <c r="G42" s="81"/>
      <c r="H42" s="302"/>
      <c r="I42" s="83"/>
    </row>
    <row r="43" spans="1:9">
      <c r="A43" s="5"/>
      <c r="B43" s="308" t="s">
        <v>10</v>
      </c>
      <c r="C43" s="309"/>
      <c r="D43" s="1359"/>
      <c r="E43" s="1370"/>
      <c r="F43" s="94"/>
      <c r="G43" s="302"/>
      <c r="I43" s="72"/>
    </row>
    <row r="44" spans="1:9">
      <c r="A44" s="5">
        <v>7</v>
      </c>
      <c r="B44" s="300" t="s">
        <v>246</v>
      </c>
      <c r="C44" s="309">
        <f>SUM(C45:C47)</f>
        <v>2355032</v>
      </c>
      <c r="D44" s="1346"/>
      <c r="E44" s="1346"/>
      <c r="F44" s="84"/>
      <c r="G44" s="302"/>
      <c r="I44" s="72"/>
    </row>
    <row r="45" spans="1:9">
      <c r="A45" s="8" t="s">
        <v>11</v>
      </c>
      <c r="B45" s="12" t="s">
        <v>19</v>
      </c>
      <c r="C45" s="310">
        <v>1919438</v>
      </c>
      <c r="D45" s="1346"/>
      <c r="E45" s="1346"/>
      <c r="F45" s="84"/>
      <c r="G45" s="302"/>
      <c r="I45" s="72"/>
    </row>
    <row r="46" spans="1:9">
      <c r="A46" s="11" t="s">
        <v>18</v>
      </c>
      <c r="B46" s="12" t="s">
        <v>151</v>
      </c>
      <c r="C46" s="310">
        <v>435594</v>
      </c>
      <c r="D46" s="1346"/>
      <c r="E46" s="1346"/>
      <c r="F46" s="84"/>
      <c r="G46" s="302"/>
      <c r="I46" s="72"/>
    </row>
    <row r="47" spans="1:9">
      <c r="A47" s="8" t="s">
        <v>247</v>
      </c>
      <c r="B47" s="12" t="s">
        <v>248</v>
      </c>
      <c r="C47" s="310">
        <v>0</v>
      </c>
      <c r="D47" s="1359"/>
      <c r="E47" s="1360"/>
      <c r="F47" s="84"/>
      <c r="G47" s="302"/>
      <c r="I47" s="72"/>
    </row>
    <row r="48" spans="1:9">
      <c r="A48" s="5">
        <v>8</v>
      </c>
      <c r="B48" s="300" t="s">
        <v>109</v>
      </c>
      <c r="C48" s="309">
        <f>SUM(C49:C51)</f>
        <v>2056644</v>
      </c>
      <c r="D48" s="1346"/>
      <c r="E48" s="1346"/>
      <c r="F48" s="84"/>
      <c r="G48" s="302"/>
      <c r="I48" s="72"/>
    </row>
    <row r="49" spans="1:9">
      <c r="A49" s="19" t="s">
        <v>20</v>
      </c>
      <c r="B49" s="20" t="s">
        <v>23</v>
      </c>
      <c r="C49" s="310">
        <v>1172056</v>
      </c>
      <c r="D49" s="1346"/>
      <c r="E49" s="1346"/>
      <c r="F49" s="84"/>
      <c r="G49" s="302"/>
      <c r="I49" s="72"/>
    </row>
    <row r="50" spans="1:9">
      <c r="A50" s="11" t="s">
        <v>21</v>
      </c>
      <c r="B50" s="12" t="s">
        <v>24</v>
      </c>
      <c r="C50" s="310">
        <v>684486</v>
      </c>
      <c r="D50" s="1346"/>
      <c r="E50" s="1346"/>
      <c r="F50" s="84"/>
      <c r="G50" s="302"/>
      <c r="I50" s="72"/>
    </row>
    <row r="51" spans="1:9">
      <c r="A51" s="11" t="s">
        <v>22</v>
      </c>
      <c r="B51" s="12" t="s">
        <v>25</v>
      </c>
      <c r="C51" s="310">
        <v>200102</v>
      </c>
      <c r="D51" s="1346"/>
      <c r="E51" s="1346"/>
      <c r="F51" s="84"/>
      <c r="G51" s="302"/>
      <c r="I51" s="72"/>
    </row>
    <row r="52" spans="1:9" ht="25.5">
      <c r="A52" s="21">
        <v>9</v>
      </c>
      <c r="B52" s="22" t="s">
        <v>27</v>
      </c>
      <c r="C52" s="311">
        <v>764898</v>
      </c>
      <c r="D52" s="1346"/>
      <c r="E52" s="1346"/>
      <c r="F52" s="84"/>
      <c r="G52" s="302"/>
      <c r="I52" s="72"/>
    </row>
    <row r="53" spans="1:9">
      <c r="A53" s="21">
        <v>10</v>
      </c>
      <c r="B53" s="22" t="s">
        <v>249</v>
      </c>
      <c r="C53" s="311">
        <f>+C44+C48+C52</f>
        <v>5176574</v>
      </c>
      <c r="D53" s="1359"/>
      <c r="E53" s="1360"/>
      <c r="F53" s="94"/>
      <c r="G53" s="302"/>
      <c r="I53" s="72"/>
    </row>
    <row r="54" spans="1:9">
      <c r="A54" s="21"/>
      <c r="B54" s="22"/>
      <c r="C54" s="303"/>
      <c r="D54" s="1359"/>
      <c r="E54" s="1360"/>
      <c r="F54" s="94"/>
      <c r="G54" s="302"/>
      <c r="I54" s="72"/>
    </row>
    <row r="55" spans="1:9">
      <c r="A55" s="95"/>
      <c r="B55" s="308" t="s">
        <v>250</v>
      </c>
      <c r="C55" s="303"/>
      <c r="D55" s="1361"/>
      <c r="E55" s="1346"/>
      <c r="F55" s="84"/>
      <c r="G55" s="302"/>
      <c r="I55" s="72"/>
    </row>
    <row r="56" spans="1:9" ht="25.5">
      <c r="A56" s="97">
        <v>11</v>
      </c>
      <c r="B56" s="312" t="s">
        <v>251</v>
      </c>
      <c r="C56" s="313">
        <f>SUM(C57:C59)</f>
        <v>490110</v>
      </c>
      <c r="D56" s="1346"/>
      <c r="E56" s="1346"/>
      <c r="F56" s="84"/>
      <c r="G56" s="302"/>
      <c r="I56" s="72"/>
    </row>
    <row r="57" spans="1:9">
      <c r="A57" s="100" t="s">
        <v>30</v>
      </c>
      <c r="B57" s="101" t="s">
        <v>28</v>
      </c>
      <c r="C57" s="314">
        <v>97394</v>
      </c>
      <c r="D57" s="1346"/>
      <c r="E57" s="1346"/>
      <c r="F57" s="84"/>
      <c r="G57" s="302"/>
      <c r="I57" s="72"/>
    </row>
    <row r="58" spans="1:9">
      <c r="A58" s="100" t="s">
        <v>32</v>
      </c>
      <c r="B58" s="101" t="s">
        <v>363</v>
      </c>
      <c r="C58" s="314">
        <v>147661</v>
      </c>
      <c r="D58" s="1346"/>
      <c r="E58" s="1346"/>
      <c r="F58" s="84"/>
      <c r="G58" s="302"/>
      <c r="I58" s="72"/>
    </row>
    <row r="59" spans="1:9">
      <c r="A59" s="100" t="s">
        <v>34</v>
      </c>
      <c r="B59" s="101" t="s">
        <v>29</v>
      </c>
      <c r="C59" s="314">
        <v>245055</v>
      </c>
      <c r="D59" s="1346"/>
      <c r="E59" s="1346"/>
      <c r="F59" s="84"/>
      <c r="G59" s="302"/>
      <c r="I59" s="72"/>
    </row>
    <row r="60" spans="1:9" ht="25.5">
      <c r="A60" s="97">
        <v>12</v>
      </c>
      <c r="B60" s="312" t="s">
        <v>252</v>
      </c>
      <c r="C60" s="313">
        <f>SUM(C61:C66)</f>
        <v>1782653</v>
      </c>
      <c r="D60" s="1346"/>
      <c r="E60" s="1346"/>
      <c r="F60" s="84"/>
      <c r="G60" s="302"/>
      <c r="I60" s="72"/>
    </row>
    <row r="61" spans="1:9">
      <c r="A61" s="100" t="s">
        <v>36</v>
      </c>
      <c r="B61" s="101" t="s">
        <v>31</v>
      </c>
      <c r="C61" s="314">
        <v>367937</v>
      </c>
      <c r="D61" s="1346"/>
      <c r="E61" s="1346"/>
      <c r="F61" s="84"/>
      <c r="G61" s="302"/>
      <c r="I61" s="72"/>
    </row>
    <row r="62" spans="1:9">
      <c r="A62" s="100" t="s">
        <v>38</v>
      </c>
      <c r="B62" s="101" t="s">
        <v>206</v>
      </c>
      <c r="C62" s="314">
        <v>1104387</v>
      </c>
      <c r="D62" s="1346"/>
      <c r="E62" s="1346"/>
      <c r="F62" s="84"/>
      <c r="G62" s="302"/>
      <c r="I62" s="72"/>
    </row>
    <row r="63" spans="1:9">
      <c r="A63" s="100" t="s">
        <v>253</v>
      </c>
      <c r="B63" s="101" t="s">
        <v>33</v>
      </c>
      <c r="C63" s="314">
        <v>277918</v>
      </c>
      <c r="D63" s="1346"/>
      <c r="E63" s="1346"/>
      <c r="F63" s="84"/>
      <c r="G63" s="302"/>
      <c r="I63" s="72"/>
    </row>
    <row r="64" spans="1:9">
      <c r="A64" s="100" t="s">
        <v>39</v>
      </c>
      <c r="B64" s="101" t="s">
        <v>35</v>
      </c>
      <c r="C64" s="314">
        <v>26934</v>
      </c>
      <c r="D64" s="1346"/>
      <c r="E64" s="1346"/>
      <c r="F64" s="84"/>
      <c r="G64" s="302"/>
      <c r="I64" s="72"/>
    </row>
    <row r="65" spans="1:9" ht="39.75" customHeight="1">
      <c r="A65" s="102" t="s">
        <v>254</v>
      </c>
      <c r="B65" s="101" t="s">
        <v>153</v>
      </c>
      <c r="C65" s="314">
        <v>4977</v>
      </c>
      <c r="D65" s="1368" t="s">
        <v>613</v>
      </c>
      <c r="E65" s="1369"/>
      <c r="F65" s="84"/>
      <c r="G65" s="302"/>
      <c r="I65" s="72"/>
    </row>
    <row r="66" spans="1:9">
      <c r="A66" s="102" t="s">
        <v>255</v>
      </c>
      <c r="B66" s="103" t="s">
        <v>216</v>
      </c>
      <c r="C66" s="314">
        <v>500</v>
      </c>
      <c r="D66" s="1346"/>
      <c r="E66" s="1346"/>
      <c r="F66" s="84"/>
      <c r="G66" s="302"/>
      <c r="I66" s="72"/>
    </row>
    <row r="67" spans="1:9">
      <c r="A67" s="97">
        <v>13</v>
      </c>
      <c r="B67" s="315" t="s">
        <v>256</v>
      </c>
      <c r="C67" s="313">
        <f>SUM(C68:C69)</f>
        <v>34773</v>
      </c>
      <c r="D67" s="1346"/>
      <c r="E67" s="1346"/>
      <c r="F67" s="84"/>
      <c r="G67" s="302"/>
      <c r="I67" s="72"/>
    </row>
    <row r="68" spans="1:9">
      <c r="A68" s="100" t="s">
        <v>156</v>
      </c>
      <c r="B68" s="103" t="s">
        <v>40</v>
      </c>
      <c r="C68" s="314">
        <v>9145</v>
      </c>
      <c r="D68" s="1346"/>
      <c r="E68" s="1346"/>
      <c r="F68" s="84"/>
      <c r="G68" s="302"/>
      <c r="I68" s="72"/>
    </row>
    <row r="69" spans="1:9">
      <c r="A69" s="100" t="s">
        <v>157</v>
      </c>
      <c r="B69" s="103" t="s">
        <v>41</v>
      </c>
      <c r="C69" s="314">
        <v>25628</v>
      </c>
      <c r="D69" s="1346"/>
      <c r="E69" s="1346"/>
      <c r="F69" s="84"/>
      <c r="G69" s="302"/>
      <c r="I69" s="72"/>
    </row>
    <row r="70" spans="1:9">
      <c r="A70" s="95">
        <v>14</v>
      </c>
      <c r="B70" s="308" t="s">
        <v>257</v>
      </c>
      <c r="C70" s="313">
        <f>SUM(C71:C75)</f>
        <v>0</v>
      </c>
      <c r="D70" s="1346"/>
      <c r="E70" s="1346"/>
      <c r="F70" s="84"/>
      <c r="G70" s="302"/>
      <c r="I70" s="72"/>
    </row>
    <row r="71" spans="1:9">
      <c r="A71" s="105" t="s">
        <v>42</v>
      </c>
      <c r="B71" s="316" t="s">
        <v>155</v>
      </c>
      <c r="C71" s="314">
        <v>0</v>
      </c>
      <c r="D71" s="1361"/>
      <c r="E71" s="1361"/>
      <c r="F71" s="81"/>
      <c r="G71" s="302"/>
      <c r="I71" s="72"/>
    </row>
    <row r="72" spans="1:9">
      <c r="A72" s="105" t="s">
        <v>43</v>
      </c>
      <c r="B72" s="317" t="s">
        <v>258</v>
      </c>
      <c r="C72" s="314">
        <v>0</v>
      </c>
      <c r="D72" s="1362"/>
      <c r="E72" s="1363"/>
      <c r="F72" s="81"/>
      <c r="G72" s="302"/>
      <c r="I72" s="72"/>
    </row>
    <row r="73" spans="1:9">
      <c r="A73" s="105" t="s">
        <v>45</v>
      </c>
      <c r="B73" s="108" t="s">
        <v>44</v>
      </c>
      <c r="C73" s="314">
        <v>0</v>
      </c>
      <c r="D73" s="1346"/>
      <c r="E73" s="1346"/>
      <c r="F73" s="84"/>
      <c r="G73" s="302"/>
      <c r="I73" s="72"/>
    </row>
    <row r="74" spans="1:9">
      <c r="A74" s="105" t="s">
        <v>154</v>
      </c>
      <c r="B74" s="108" t="s">
        <v>46</v>
      </c>
      <c r="C74" s="314">
        <v>0</v>
      </c>
      <c r="D74" s="1346"/>
      <c r="E74" s="1346"/>
      <c r="F74" s="84"/>
      <c r="G74" s="302"/>
      <c r="I74" s="72"/>
    </row>
    <row r="75" spans="1:9" ht="25.5">
      <c r="A75" s="109" t="s">
        <v>259</v>
      </c>
      <c r="B75" s="318" t="s">
        <v>104</v>
      </c>
      <c r="C75" s="314">
        <v>0</v>
      </c>
      <c r="D75" s="1346"/>
      <c r="E75" s="1346"/>
      <c r="F75" s="84"/>
      <c r="G75" s="302"/>
      <c r="I75" s="72"/>
    </row>
    <row r="76" spans="1:9">
      <c r="A76" s="110">
        <v>15</v>
      </c>
      <c r="B76" s="308" t="s">
        <v>260</v>
      </c>
      <c r="C76" s="319">
        <f>+C56+C60+C67+C70</f>
        <v>2307536</v>
      </c>
      <c r="D76" s="1364"/>
      <c r="E76" s="1365"/>
      <c r="F76" s="84"/>
      <c r="G76" s="302"/>
      <c r="I76" s="72"/>
    </row>
    <row r="77" spans="1:9">
      <c r="A77" s="109"/>
      <c r="B77" s="308"/>
      <c r="C77" s="320"/>
      <c r="D77" s="1366"/>
      <c r="E77" s="1367"/>
      <c r="F77" s="84"/>
      <c r="G77" s="302"/>
      <c r="I77" s="72"/>
    </row>
    <row r="78" spans="1:9">
      <c r="A78" s="109"/>
      <c r="B78" s="111" t="s">
        <v>261</v>
      </c>
      <c r="C78" s="314"/>
      <c r="D78" s="1346"/>
      <c r="E78" s="1346"/>
      <c r="F78" s="84"/>
      <c r="G78" s="302"/>
      <c r="I78" s="72"/>
    </row>
    <row r="79" spans="1:9">
      <c r="A79" s="109"/>
      <c r="C79" s="314"/>
      <c r="D79" s="1359"/>
      <c r="E79" s="1360"/>
      <c r="F79" s="84"/>
      <c r="G79" s="302"/>
      <c r="I79" s="72"/>
    </row>
    <row r="80" spans="1:9">
      <c r="A80" s="95">
        <v>16</v>
      </c>
      <c r="B80" s="321" t="s">
        <v>262</v>
      </c>
      <c r="C80" s="322">
        <f>SUM(C81:C85)</f>
        <v>14538</v>
      </c>
      <c r="D80" s="1359"/>
      <c r="E80" s="1360"/>
      <c r="F80" s="84"/>
      <c r="G80" s="302"/>
      <c r="I80" s="72"/>
    </row>
    <row r="81" spans="1:9" ht="91.5" customHeight="1">
      <c r="A81" s="323" t="s">
        <v>263</v>
      </c>
      <c r="B81" s="324" t="s">
        <v>264</v>
      </c>
      <c r="C81" s="325">
        <v>0</v>
      </c>
      <c r="D81" s="1357" t="s">
        <v>614</v>
      </c>
      <c r="E81" s="1358"/>
      <c r="F81" s="84"/>
      <c r="G81" s="302"/>
      <c r="I81" s="72"/>
    </row>
    <row r="82" spans="1:9" ht="25.5">
      <c r="A82" s="109" t="s">
        <v>192</v>
      </c>
      <c r="B82" s="168" t="s">
        <v>207</v>
      </c>
      <c r="C82" s="314">
        <v>11218</v>
      </c>
      <c r="D82" s="1359"/>
      <c r="E82" s="1360"/>
      <c r="F82" s="84"/>
      <c r="G82" s="302"/>
      <c r="I82" s="72"/>
    </row>
    <row r="83" spans="1:9">
      <c r="A83" s="109" t="s">
        <v>193</v>
      </c>
      <c r="B83" s="209" t="s">
        <v>158</v>
      </c>
      <c r="C83" s="314">
        <v>2912</v>
      </c>
      <c r="D83" s="1359"/>
      <c r="E83" s="1360"/>
      <c r="F83" s="84"/>
      <c r="G83" s="302"/>
      <c r="I83" s="72"/>
    </row>
    <row r="84" spans="1:9">
      <c r="A84" s="109" t="s">
        <v>265</v>
      </c>
      <c r="B84" s="209" t="s">
        <v>159</v>
      </c>
      <c r="C84" s="314">
        <v>408</v>
      </c>
      <c r="D84" s="1359"/>
      <c r="E84" s="1360"/>
      <c r="F84" s="84"/>
      <c r="G84" s="302"/>
      <c r="I84" s="72"/>
    </row>
    <row r="85" spans="1:9">
      <c r="A85" s="109" t="s">
        <v>266</v>
      </c>
      <c r="B85" s="209" t="s">
        <v>160</v>
      </c>
      <c r="C85" s="314">
        <v>0</v>
      </c>
      <c r="D85" s="1359"/>
      <c r="E85" s="1360"/>
      <c r="F85" s="84"/>
      <c r="G85" s="302"/>
      <c r="I85" s="72"/>
    </row>
    <row r="86" spans="1:9">
      <c r="A86" s="110">
        <v>17</v>
      </c>
      <c r="B86" s="111" t="s">
        <v>191</v>
      </c>
      <c r="C86" s="322">
        <v>30363</v>
      </c>
      <c r="D86" s="1346"/>
      <c r="E86" s="1346"/>
      <c r="F86" s="84"/>
      <c r="G86" s="302"/>
      <c r="I86" s="83"/>
    </row>
    <row r="87" spans="1:9">
      <c r="A87" s="110">
        <v>18</v>
      </c>
      <c r="B87" s="308" t="s">
        <v>267</v>
      </c>
      <c r="C87" s="313"/>
      <c r="D87" s="1346"/>
      <c r="E87" s="1346"/>
      <c r="F87" s="84"/>
      <c r="G87" s="302"/>
      <c r="I87" s="72"/>
    </row>
    <row r="88" spans="1:9">
      <c r="A88" s="105" t="s">
        <v>268</v>
      </c>
      <c r="B88" s="114" t="s">
        <v>47</v>
      </c>
      <c r="C88" s="314">
        <v>18656</v>
      </c>
      <c r="D88" s="1346"/>
      <c r="E88" s="1346"/>
      <c r="F88" s="84"/>
      <c r="G88" s="302"/>
      <c r="I88" s="72"/>
    </row>
    <row r="89" spans="1:9">
      <c r="A89" s="105" t="s">
        <v>269</v>
      </c>
      <c r="B89" s="114" t="s">
        <v>48</v>
      </c>
      <c r="C89" s="314">
        <v>50003</v>
      </c>
      <c r="D89" s="1346"/>
      <c r="E89" s="1346"/>
      <c r="F89" s="84"/>
      <c r="G89" s="302"/>
      <c r="I89" s="72"/>
    </row>
    <row r="90" spans="1:9">
      <c r="A90" s="105" t="s">
        <v>270</v>
      </c>
      <c r="B90" s="114" t="s">
        <v>105</v>
      </c>
      <c r="C90" s="314">
        <v>0</v>
      </c>
      <c r="D90" s="1346"/>
      <c r="E90" s="1346"/>
      <c r="F90" s="84"/>
      <c r="G90" s="302"/>
      <c r="I90" s="72"/>
    </row>
    <row r="91" spans="1:9">
      <c r="A91" s="110">
        <v>19</v>
      </c>
      <c r="B91" s="209" t="s">
        <v>205</v>
      </c>
      <c r="C91" s="322">
        <v>275976</v>
      </c>
      <c r="D91" s="1346"/>
      <c r="E91" s="1346"/>
      <c r="F91" s="84"/>
      <c r="G91" s="302"/>
      <c r="I91" s="72"/>
    </row>
    <row r="92" spans="1:9" ht="38.25">
      <c r="A92" s="110">
        <v>20</v>
      </c>
      <c r="B92" s="168" t="s">
        <v>106</v>
      </c>
      <c r="C92" s="322">
        <v>268427</v>
      </c>
      <c r="D92" s="1346"/>
      <c r="E92" s="1346"/>
      <c r="F92" s="84"/>
      <c r="G92" s="302"/>
      <c r="I92" s="72"/>
    </row>
    <row r="93" spans="1:9">
      <c r="A93" s="110">
        <v>21</v>
      </c>
      <c r="B93" s="209" t="s">
        <v>103</v>
      </c>
      <c r="C93" s="322">
        <v>95000</v>
      </c>
      <c r="D93" s="1346"/>
      <c r="E93" s="1346"/>
      <c r="F93" s="84"/>
      <c r="G93" s="302"/>
      <c r="I93" s="72"/>
    </row>
    <row r="94" spans="1:9" ht="25.5">
      <c r="A94" s="110">
        <v>22</v>
      </c>
      <c r="B94" s="168" t="s">
        <v>107</v>
      </c>
      <c r="C94" s="326">
        <v>298870</v>
      </c>
      <c r="D94" s="1346"/>
      <c r="E94" s="1346"/>
      <c r="F94" s="116"/>
      <c r="G94" s="302"/>
      <c r="I94" s="80"/>
    </row>
    <row r="95" spans="1:9" ht="25.5">
      <c r="A95" s="110">
        <v>23</v>
      </c>
      <c r="B95" s="168" t="s">
        <v>271</v>
      </c>
      <c r="C95" s="313">
        <f>+C53+C76+C80+C86+C91+C92+C93+C94</f>
        <v>8467284</v>
      </c>
      <c r="D95" s="1346"/>
      <c r="E95" s="1346"/>
      <c r="F95" s="84"/>
      <c r="G95" s="302"/>
      <c r="I95" s="72"/>
    </row>
    <row r="96" spans="1:9">
      <c r="A96" s="109" t="s">
        <v>108</v>
      </c>
      <c r="B96" s="114" t="s">
        <v>49</v>
      </c>
      <c r="C96" s="314">
        <v>0</v>
      </c>
      <c r="D96" s="1346"/>
      <c r="E96" s="1346"/>
      <c r="F96" s="84"/>
      <c r="G96" s="302"/>
      <c r="I96" s="72"/>
    </row>
    <row r="97" spans="1:9" ht="15">
      <c r="A97" s="110">
        <v>24</v>
      </c>
      <c r="B97" s="209" t="s">
        <v>272</v>
      </c>
      <c r="C97" s="327">
        <f>+C95+C96</f>
        <v>8467284</v>
      </c>
      <c r="D97" s="1346"/>
      <c r="E97" s="1346"/>
      <c r="F97" s="84"/>
      <c r="G97" s="302"/>
      <c r="I97" s="72"/>
    </row>
    <row r="99" spans="1:9" ht="15.75">
      <c r="A99" s="1199" t="s">
        <v>362</v>
      </c>
      <c r="B99" s="1204"/>
      <c r="C99" s="1204"/>
      <c r="D99" s="1204"/>
      <c r="E99" s="1204"/>
      <c r="F99" s="1204"/>
      <c r="G99" s="1204"/>
      <c r="H99" s="1205"/>
      <c r="I99" s="120"/>
    </row>
    <row r="100" spans="1:9">
      <c r="A100" s="30" t="s">
        <v>86</v>
      </c>
      <c r="B100" s="263" t="s">
        <v>8</v>
      </c>
      <c r="C100" s="301" t="s">
        <v>50</v>
      </c>
      <c r="D100" s="328" t="s">
        <v>51</v>
      </c>
      <c r="E100" s="328" t="s">
        <v>52</v>
      </c>
      <c r="F100" s="32"/>
      <c r="G100" s="32"/>
      <c r="H100" s="329"/>
      <c r="I100" s="122"/>
    </row>
    <row r="101" spans="1:9" ht="12.75" customHeight="1">
      <c r="A101" s="1206"/>
      <c r="B101" s="1347" t="s">
        <v>273</v>
      </c>
      <c r="C101" s="1349" t="s">
        <v>615</v>
      </c>
      <c r="D101" s="1350"/>
      <c r="E101" s="1351"/>
      <c r="F101" s="123"/>
      <c r="G101" s="123"/>
      <c r="H101" s="1352"/>
      <c r="I101" s="124"/>
    </row>
    <row r="102" spans="1:9" ht="42" customHeight="1">
      <c r="A102" s="1207"/>
      <c r="B102" s="1348"/>
      <c r="C102" s="1354" t="s">
        <v>616</v>
      </c>
      <c r="D102" s="1355"/>
      <c r="E102" s="1356"/>
      <c r="F102" s="125"/>
      <c r="G102" s="330"/>
      <c r="H102" s="1353"/>
      <c r="I102" s="124"/>
    </row>
    <row r="103" spans="1:9">
      <c r="A103" s="30">
        <v>25</v>
      </c>
      <c r="B103" s="263" t="s">
        <v>274</v>
      </c>
      <c r="C103" s="331">
        <f>SUM(C104,C107:C110)</f>
        <v>13869</v>
      </c>
      <c r="D103" s="332" t="s">
        <v>377</v>
      </c>
      <c r="E103" s="333">
        <v>1403867</v>
      </c>
      <c r="F103" s="34"/>
      <c r="G103" s="330"/>
      <c r="I103" s="3"/>
    </row>
    <row r="104" spans="1:9">
      <c r="A104" s="25" t="s">
        <v>91</v>
      </c>
      <c r="B104" s="13" t="s">
        <v>53</v>
      </c>
      <c r="C104" s="331">
        <v>10527</v>
      </c>
      <c r="D104" s="332" t="s">
        <v>377</v>
      </c>
      <c r="E104" s="333">
        <v>1117138</v>
      </c>
      <c r="F104" s="34"/>
      <c r="G104" s="330"/>
      <c r="I104" s="3"/>
    </row>
    <row r="105" spans="1:9">
      <c r="A105" s="25" t="s">
        <v>194</v>
      </c>
      <c r="B105" s="35" t="s">
        <v>54</v>
      </c>
      <c r="C105" s="303">
        <v>7591</v>
      </c>
      <c r="D105" s="332" t="s">
        <v>377</v>
      </c>
      <c r="E105" s="332" t="s">
        <v>377</v>
      </c>
      <c r="F105" s="34"/>
      <c r="G105" s="330"/>
      <c r="I105" s="3"/>
    </row>
    <row r="106" spans="1:9">
      <c r="A106" s="25" t="s">
        <v>195</v>
      </c>
      <c r="B106" s="35" t="s">
        <v>55</v>
      </c>
      <c r="C106" s="303">
        <v>2936</v>
      </c>
      <c r="D106" s="332" t="s">
        <v>377</v>
      </c>
      <c r="E106" s="332" t="s">
        <v>377</v>
      </c>
      <c r="F106" s="34"/>
      <c r="G106" s="330"/>
      <c r="I106" s="3"/>
    </row>
    <row r="107" spans="1:9">
      <c r="A107" s="25" t="s">
        <v>93</v>
      </c>
      <c r="B107" s="13" t="s">
        <v>56</v>
      </c>
      <c r="C107" s="303">
        <v>3282</v>
      </c>
      <c r="D107" s="332" t="s">
        <v>377</v>
      </c>
      <c r="E107" s="333">
        <v>257779</v>
      </c>
      <c r="F107" s="34"/>
      <c r="G107" s="330"/>
      <c r="I107" s="3"/>
    </row>
    <row r="108" spans="1:9">
      <c r="A108" s="25" t="s">
        <v>275</v>
      </c>
      <c r="B108" s="13" t="s">
        <v>57</v>
      </c>
      <c r="C108" s="303">
        <v>60</v>
      </c>
      <c r="D108" s="332" t="s">
        <v>377</v>
      </c>
      <c r="E108" s="333">
        <v>15991</v>
      </c>
      <c r="F108" s="34"/>
      <c r="G108" s="330"/>
      <c r="I108" s="3"/>
    </row>
    <row r="109" spans="1:9">
      <c r="A109" s="25" t="s">
        <v>276</v>
      </c>
      <c r="B109" s="13" t="s">
        <v>58</v>
      </c>
      <c r="C109" s="297">
        <v>0</v>
      </c>
      <c r="D109" s="303">
        <v>-54</v>
      </c>
      <c r="E109" s="333">
        <v>12959</v>
      </c>
      <c r="F109" s="34"/>
      <c r="G109" s="330"/>
      <c r="I109" s="3"/>
    </row>
    <row r="110" spans="1:9">
      <c r="A110" s="27" t="s">
        <v>277</v>
      </c>
      <c r="B110" s="13" t="s">
        <v>139</v>
      </c>
      <c r="C110" s="332" t="s">
        <v>377</v>
      </c>
      <c r="D110" s="332" t="s">
        <v>377</v>
      </c>
      <c r="E110" s="332" t="s">
        <v>377</v>
      </c>
      <c r="F110" s="34"/>
      <c r="G110" s="330"/>
      <c r="I110" s="3"/>
    </row>
    <row r="111" spans="1:9">
      <c r="A111" s="30">
        <v>26</v>
      </c>
      <c r="B111" s="263" t="s">
        <v>617</v>
      </c>
      <c r="C111" s="303">
        <f>SUM(C112,C114)</f>
        <v>119532</v>
      </c>
      <c r="D111" s="332" t="s">
        <v>377</v>
      </c>
      <c r="E111" s="333">
        <f t="shared" ref="E111" si="0">SUM(E112,E114)</f>
        <v>1111581</v>
      </c>
      <c r="F111" s="34"/>
      <c r="G111" s="330"/>
      <c r="I111" s="3"/>
    </row>
    <row r="112" spans="1:9">
      <c r="A112" s="25" t="s">
        <v>92</v>
      </c>
      <c r="B112" s="13" t="s">
        <v>59</v>
      </c>
      <c r="C112" s="303">
        <v>111575</v>
      </c>
      <c r="D112" s="332" t="s">
        <v>377</v>
      </c>
      <c r="E112" s="333">
        <v>274713</v>
      </c>
      <c r="F112" s="34"/>
      <c r="G112" s="330"/>
      <c r="I112" s="3"/>
    </row>
    <row r="113" spans="1:9">
      <c r="A113" s="27" t="s">
        <v>94</v>
      </c>
      <c r="B113" s="13" t="s">
        <v>164</v>
      </c>
      <c r="C113" s="303" t="s">
        <v>377</v>
      </c>
      <c r="D113" s="332" t="s">
        <v>377</v>
      </c>
      <c r="E113" s="303" t="s">
        <v>377</v>
      </c>
      <c r="F113" s="34"/>
      <c r="G113" s="330"/>
      <c r="I113" s="3"/>
    </row>
    <row r="114" spans="1:9">
      <c r="A114" s="220" t="s">
        <v>95</v>
      </c>
      <c r="B114" s="13" t="s">
        <v>618</v>
      </c>
      <c r="C114" s="303">
        <v>7957</v>
      </c>
      <c r="D114" s="332" t="s">
        <v>377</v>
      </c>
      <c r="E114" s="333">
        <v>836868</v>
      </c>
      <c r="F114" s="34"/>
      <c r="G114" s="330"/>
      <c r="I114" s="3"/>
    </row>
    <row r="115" spans="1:9" ht="25.5">
      <c r="A115" s="36">
        <v>27</v>
      </c>
      <c r="B115" s="334" t="s">
        <v>279</v>
      </c>
      <c r="C115" s="331">
        <v>6483</v>
      </c>
      <c r="D115" s="332" t="s">
        <v>377</v>
      </c>
      <c r="E115" s="333">
        <v>55256</v>
      </c>
      <c r="F115" s="34"/>
      <c r="G115" s="330"/>
      <c r="I115" s="3"/>
    </row>
    <row r="116" spans="1:9">
      <c r="A116" s="30" t="s">
        <v>196</v>
      </c>
      <c r="B116" s="126" t="s">
        <v>280</v>
      </c>
      <c r="C116" s="331">
        <f>SUM(C117,C118)</f>
        <v>6483</v>
      </c>
      <c r="D116" s="332" t="s">
        <v>377</v>
      </c>
      <c r="E116" s="333">
        <f>SUM(E117,E118)</f>
        <v>55256</v>
      </c>
      <c r="F116" s="25"/>
      <c r="G116" s="330"/>
      <c r="I116" s="3"/>
    </row>
    <row r="117" spans="1:9">
      <c r="A117" s="25" t="s">
        <v>281</v>
      </c>
      <c r="B117" s="35" t="s">
        <v>124</v>
      </c>
      <c r="C117" s="303">
        <v>-281</v>
      </c>
      <c r="D117" s="332" t="s">
        <v>377</v>
      </c>
      <c r="E117" s="333">
        <v>2342</v>
      </c>
      <c r="F117" s="25"/>
      <c r="G117" s="330"/>
      <c r="I117" s="3"/>
    </row>
    <row r="118" spans="1:9">
      <c r="A118" s="25" t="s">
        <v>282</v>
      </c>
      <c r="B118" s="35" t="s">
        <v>125</v>
      </c>
      <c r="C118" s="303">
        <v>6764</v>
      </c>
      <c r="D118" s="332" t="s">
        <v>377</v>
      </c>
      <c r="E118" s="333">
        <v>52914</v>
      </c>
      <c r="F118" s="25"/>
      <c r="G118" s="330"/>
      <c r="I118" s="3"/>
    </row>
    <row r="119" spans="1:9" ht="25.5">
      <c r="A119" s="30" t="s">
        <v>283</v>
      </c>
      <c r="B119" s="126" t="s">
        <v>284</v>
      </c>
      <c r="C119" s="332" t="s">
        <v>377</v>
      </c>
      <c r="D119" s="332" t="s">
        <v>377</v>
      </c>
      <c r="E119" s="332" t="s">
        <v>377</v>
      </c>
      <c r="F119" s="25"/>
      <c r="G119" s="330"/>
      <c r="I119" s="3"/>
    </row>
    <row r="120" spans="1:9">
      <c r="A120" s="25" t="s">
        <v>285</v>
      </c>
      <c r="B120" s="35" t="s">
        <v>126</v>
      </c>
      <c r="C120" s="332" t="s">
        <v>377</v>
      </c>
      <c r="D120" s="332" t="s">
        <v>377</v>
      </c>
      <c r="E120" s="332" t="s">
        <v>377</v>
      </c>
      <c r="F120" s="25"/>
      <c r="G120" s="330"/>
      <c r="I120" s="3"/>
    </row>
    <row r="121" spans="1:9">
      <c r="A121" s="27" t="s">
        <v>286</v>
      </c>
      <c r="B121" s="35" t="s">
        <v>287</v>
      </c>
      <c r="C121" s="332" t="s">
        <v>377</v>
      </c>
      <c r="D121" s="332" t="s">
        <v>377</v>
      </c>
      <c r="E121" s="332" t="s">
        <v>377</v>
      </c>
      <c r="F121" s="25"/>
      <c r="G121" s="330"/>
      <c r="I121" s="3"/>
    </row>
    <row r="122" spans="1:9">
      <c r="A122" s="25" t="s">
        <v>288</v>
      </c>
      <c r="B122" s="35" t="s">
        <v>218</v>
      </c>
      <c r="C122" s="332" t="s">
        <v>377</v>
      </c>
      <c r="D122" s="332" t="s">
        <v>377</v>
      </c>
      <c r="E122" s="332" t="s">
        <v>377</v>
      </c>
      <c r="F122" s="25"/>
      <c r="G122" s="330"/>
      <c r="I122" s="3"/>
    </row>
    <row r="123" spans="1:9">
      <c r="A123" s="25"/>
      <c r="B123" s="35"/>
      <c r="C123" s="303"/>
      <c r="D123" s="333"/>
      <c r="E123" s="333"/>
      <c r="F123" s="25"/>
      <c r="G123" s="330"/>
      <c r="I123" s="3"/>
    </row>
    <row r="124" spans="1:9">
      <c r="A124" s="25" t="s">
        <v>86</v>
      </c>
      <c r="B124" s="167"/>
      <c r="C124" s="303"/>
      <c r="D124" s="333"/>
      <c r="E124" s="333"/>
      <c r="F124" s="25"/>
      <c r="G124" s="330"/>
      <c r="I124" s="3"/>
    </row>
    <row r="125" spans="1:9">
      <c r="A125" s="30">
        <v>28</v>
      </c>
      <c r="B125" s="263" t="s">
        <v>289</v>
      </c>
      <c r="C125" s="331">
        <f>SUM(C126:C127)</f>
        <v>122</v>
      </c>
      <c r="D125" s="332" t="s">
        <v>377</v>
      </c>
      <c r="E125" s="335">
        <f>SUM(E126:E127)</f>
        <v>28265</v>
      </c>
      <c r="F125" s="25"/>
      <c r="G125" s="330"/>
      <c r="I125" s="3"/>
    </row>
    <row r="126" spans="1:9">
      <c r="A126" s="25" t="s">
        <v>127</v>
      </c>
      <c r="B126" s="24" t="s">
        <v>40</v>
      </c>
      <c r="C126" s="303">
        <v>-327</v>
      </c>
      <c r="D126" s="332" t="s">
        <v>377</v>
      </c>
      <c r="E126" s="333">
        <v>14219</v>
      </c>
      <c r="F126" s="25"/>
      <c r="G126" s="330"/>
      <c r="I126" s="3"/>
    </row>
    <row r="127" spans="1:9">
      <c r="A127" s="25" t="s">
        <v>129</v>
      </c>
      <c r="B127" s="24" t="s">
        <v>41</v>
      </c>
      <c r="C127" s="303">
        <v>449</v>
      </c>
      <c r="D127" s="332" t="s">
        <v>377</v>
      </c>
      <c r="E127" s="333">
        <v>14046</v>
      </c>
      <c r="F127" s="25"/>
      <c r="G127" s="330"/>
      <c r="I127" s="3"/>
    </row>
    <row r="128" spans="1:9">
      <c r="A128" s="25"/>
      <c r="C128" s="303"/>
      <c r="D128" s="333"/>
      <c r="E128" s="333"/>
      <c r="F128" s="25"/>
      <c r="G128" s="330"/>
      <c r="I128" s="3"/>
    </row>
    <row r="129" spans="1:9">
      <c r="A129" s="30">
        <v>29</v>
      </c>
      <c r="B129" s="263" t="s">
        <v>290</v>
      </c>
      <c r="C129" s="303"/>
      <c r="D129" s="333"/>
      <c r="E129" s="333"/>
      <c r="F129" s="25"/>
      <c r="G129" s="330"/>
      <c r="I129" s="3"/>
    </row>
    <row r="130" spans="1:9">
      <c r="A130" s="30" t="s">
        <v>165</v>
      </c>
      <c r="B130" s="263" t="s">
        <v>37</v>
      </c>
      <c r="C130" s="332" t="s">
        <v>377</v>
      </c>
      <c r="D130" s="332" t="s">
        <v>377</v>
      </c>
      <c r="E130" s="332" t="s">
        <v>377</v>
      </c>
      <c r="F130" s="25"/>
      <c r="G130" s="330"/>
      <c r="I130" s="3"/>
    </row>
    <row r="131" spans="1:9">
      <c r="A131" s="30" t="s">
        <v>166</v>
      </c>
      <c r="B131" s="263" t="s">
        <v>79</v>
      </c>
      <c r="C131" s="332" t="s">
        <v>377</v>
      </c>
      <c r="D131" s="332" t="s">
        <v>377</v>
      </c>
      <c r="E131" s="333">
        <v>59780</v>
      </c>
      <c r="F131" s="25"/>
      <c r="G131" s="330"/>
      <c r="I131" s="3"/>
    </row>
    <row r="132" spans="1:9">
      <c r="A132" s="30" t="s">
        <v>291</v>
      </c>
      <c r="B132" s="29" t="s">
        <v>222</v>
      </c>
      <c r="C132" s="303">
        <v>14</v>
      </c>
      <c r="D132" s="332" t="s">
        <v>377</v>
      </c>
      <c r="E132" s="333">
        <v>4427</v>
      </c>
      <c r="F132" s="30"/>
      <c r="G132" s="330"/>
      <c r="I132" s="122"/>
    </row>
    <row r="133" spans="1:9">
      <c r="A133" s="30" t="s">
        <v>292</v>
      </c>
      <c r="B133" s="29" t="s">
        <v>293</v>
      </c>
      <c r="C133" s="332" t="s">
        <v>377</v>
      </c>
      <c r="D133" s="332" t="s">
        <v>377</v>
      </c>
      <c r="E133" s="336">
        <v>3182339</v>
      </c>
      <c r="F133" s="30"/>
      <c r="G133" s="330"/>
      <c r="I133" s="122"/>
    </row>
    <row r="134" spans="1:9">
      <c r="A134" s="30" t="s">
        <v>294</v>
      </c>
      <c r="B134" s="29" t="s">
        <v>223</v>
      </c>
      <c r="C134" s="332" t="s">
        <v>377</v>
      </c>
      <c r="D134" s="332" t="s">
        <v>377</v>
      </c>
      <c r="E134" s="336">
        <v>2098162</v>
      </c>
      <c r="F134" s="30"/>
      <c r="G134" s="330"/>
      <c r="I134" s="122"/>
    </row>
    <row r="135" spans="1:9">
      <c r="A135" s="30" t="s">
        <v>295</v>
      </c>
      <c r="B135" s="37" t="s">
        <v>224</v>
      </c>
      <c r="C135" s="332" t="s">
        <v>377</v>
      </c>
      <c r="D135" s="332" t="s">
        <v>377</v>
      </c>
      <c r="E135" s="336">
        <v>1084177</v>
      </c>
      <c r="F135" s="30"/>
      <c r="G135" s="330"/>
      <c r="I135" s="122"/>
    </row>
    <row r="136" spans="1:9">
      <c r="A136" s="30" t="s">
        <v>296</v>
      </c>
      <c r="B136" s="37" t="s">
        <v>225</v>
      </c>
      <c r="C136" s="332" t="s">
        <v>377</v>
      </c>
      <c r="D136" s="332" t="s">
        <v>377</v>
      </c>
      <c r="E136" s="332" t="s">
        <v>377</v>
      </c>
      <c r="F136" s="30"/>
      <c r="G136" s="330"/>
      <c r="H136" s="330"/>
      <c r="I136" s="122"/>
    </row>
    <row r="137" spans="1:9">
      <c r="A137" s="25"/>
      <c r="B137" s="263" t="s">
        <v>219</v>
      </c>
      <c r="C137" s="303"/>
      <c r="D137" s="333"/>
      <c r="E137" s="333"/>
      <c r="F137" s="25"/>
      <c r="G137" s="25"/>
      <c r="H137" s="330"/>
      <c r="I137" s="3"/>
    </row>
    <row r="138" spans="1:9" ht="16.5" customHeight="1">
      <c r="A138" s="38" t="s">
        <v>298</v>
      </c>
      <c r="B138" s="37" t="s">
        <v>197</v>
      </c>
      <c r="C138" s="332" t="s">
        <v>377</v>
      </c>
      <c r="D138" s="332" t="s">
        <v>377</v>
      </c>
      <c r="E138" s="333">
        <v>11</v>
      </c>
      <c r="F138" s="330"/>
      <c r="G138" s="1344" t="s">
        <v>619</v>
      </c>
      <c r="H138" s="1345"/>
    </row>
    <row r="139" spans="1:9">
      <c r="A139" s="38" t="s">
        <v>299</v>
      </c>
      <c r="B139" s="37" t="s">
        <v>198</v>
      </c>
      <c r="C139" s="332" t="s">
        <v>377</v>
      </c>
      <c r="D139" s="332" t="s">
        <v>377</v>
      </c>
      <c r="E139" s="333">
        <v>23857</v>
      </c>
      <c r="F139" s="30"/>
      <c r="G139" s="330"/>
      <c r="I139" s="122"/>
    </row>
    <row r="140" spans="1:9">
      <c r="A140" s="38" t="s">
        <v>300</v>
      </c>
      <c r="B140" s="37" t="s">
        <v>620</v>
      </c>
      <c r="C140" s="337">
        <v>22</v>
      </c>
      <c r="D140" s="332" t="s">
        <v>377</v>
      </c>
      <c r="E140" s="332" t="s">
        <v>377</v>
      </c>
      <c r="F140" s="30"/>
      <c r="G140" s="330"/>
      <c r="I140" s="122"/>
    </row>
    <row r="141" spans="1:9">
      <c r="A141" s="38" t="s">
        <v>301</v>
      </c>
      <c r="B141" s="37" t="s">
        <v>200</v>
      </c>
      <c r="C141" s="303" t="s">
        <v>377</v>
      </c>
      <c r="D141" s="332" t="s">
        <v>377</v>
      </c>
      <c r="E141" s="332" t="s">
        <v>377</v>
      </c>
      <c r="F141" s="30"/>
      <c r="G141" s="330"/>
      <c r="I141" s="122"/>
    </row>
    <row r="142" spans="1:9">
      <c r="A142" s="30" t="s">
        <v>302</v>
      </c>
      <c r="B142" s="37" t="s">
        <v>220</v>
      </c>
      <c r="C142" s="303">
        <v>34</v>
      </c>
      <c r="D142" s="332" t="s">
        <v>377</v>
      </c>
      <c r="E142" s="333">
        <v>1173</v>
      </c>
      <c r="F142" s="30"/>
      <c r="G142" s="330"/>
      <c r="I142" s="122"/>
    </row>
    <row r="143" spans="1:9">
      <c r="A143" s="30" t="s">
        <v>303</v>
      </c>
      <c r="B143" s="37" t="s">
        <v>221</v>
      </c>
      <c r="C143" s="332" t="s">
        <v>377</v>
      </c>
      <c r="D143" s="332" t="s">
        <v>377</v>
      </c>
      <c r="E143" s="332" t="s">
        <v>377</v>
      </c>
      <c r="F143" s="30"/>
      <c r="G143" s="330"/>
      <c r="I143" s="122"/>
    </row>
    <row r="144" spans="1:9">
      <c r="A144" s="1213"/>
      <c r="B144" s="1214"/>
      <c r="C144" s="1215"/>
      <c r="D144" s="1215"/>
      <c r="E144" s="1215"/>
      <c r="F144" s="1215"/>
      <c r="G144" s="1215"/>
      <c r="H144" s="1216"/>
      <c r="I144" s="124"/>
    </row>
    <row r="145" spans="1:10" ht="15.75">
      <c r="A145" s="1199" t="s">
        <v>99</v>
      </c>
      <c r="B145" s="1200"/>
      <c r="C145" s="1200"/>
      <c r="D145" s="1200"/>
      <c r="E145" s="1200"/>
      <c r="F145" s="1200"/>
      <c r="G145" s="1200"/>
      <c r="H145" s="1200"/>
      <c r="I145" s="128"/>
      <c r="J145" s="120"/>
    </row>
    <row r="146" spans="1:10">
      <c r="G146" s="330"/>
    </row>
    <row r="147" spans="1:10">
      <c r="A147" s="38">
        <v>30</v>
      </c>
      <c r="B147" s="263" t="s">
        <v>304</v>
      </c>
      <c r="C147" s="339">
        <f>SUM(C148:C149)</f>
        <v>12984169</v>
      </c>
      <c r="G147" s="330"/>
    </row>
    <row r="148" spans="1:10">
      <c r="A148" s="27" t="s">
        <v>169</v>
      </c>
      <c r="B148" s="167" t="s">
        <v>167</v>
      </c>
      <c r="C148" s="340">
        <v>12984169</v>
      </c>
      <c r="G148" s="330"/>
    </row>
    <row r="149" spans="1:10">
      <c r="A149" s="27" t="s">
        <v>171</v>
      </c>
      <c r="B149" s="167" t="s">
        <v>168</v>
      </c>
      <c r="C149" s="340" t="s">
        <v>377</v>
      </c>
      <c r="G149" s="330"/>
    </row>
    <row r="150" spans="1:10" ht="24.75">
      <c r="A150" s="38">
        <v>31</v>
      </c>
      <c r="B150" s="334" t="s">
        <v>305</v>
      </c>
      <c r="C150" s="340"/>
      <c r="G150" s="330"/>
    </row>
    <row r="151" spans="1:10">
      <c r="A151" s="27" t="s">
        <v>137</v>
      </c>
      <c r="B151" s="167" t="s">
        <v>170</v>
      </c>
      <c r="C151" s="340">
        <v>591308</v>
      </c>
      <c r="G151" s="330"/>
    </row>
    <row r="152" spans="1:10">
      <c r="A152" s="27" t="s">
        <v>138</v>
      </c>
      <c r="B152" s="167" t="s">
        <v>172</v>
      </c>
      <c r="C152" s="340" t="s">
        <v>377</v>
      </c>
      <c r="G152" s="330"/>
    </row>
    <row r="153" spans="1:10">
      <c r="A153" s="27"/>
      <c r="B153" s="167"/>
      <c r="C153" s="340"/>
      <c r="G153" s="299"/>
    </row>
    <row r="154" spans="1:10">
      <c r="A154" s="30"/>
      <c r="B154" s="1201" t="s">
        <v>306</v>
      </c>
      <c r="C154" s="1202"/>
      <c r="G154" s="299"/>
    </row>
    <row r="155" spans="1:10">
      <c r="A155" s="30">
        <v>32</v>
      </c>
      <c r="B155" s="341" t="s">
        <v>307</v>
      </c>
      <c r="C155" s="331">
        <f>SUM(C156,C157,C163)</f>
        <v>375958</v>
      </c>
      <c r="G155" s="330"/>
    </row>
    <row r="156" spans="1:10">
      <c r="A156" s="25" t="s">
        <v>308</v>
      </c>
      <c r="B156" s="28" t="s">
        <v>69</v>
      </c>
      <c r="C156" s="303">
        <v>159867</v>
      </c>
      <c r="G156" s="330"/>
    </row>
    <row r="157" spans="1:10">
      <c r="A157" s="27" t="s">
        <v>309</v>
      </c>
      <c r="B157" s="28" t="s">
        <v>70</v>
      </c>
      <c r="C157" s="303">
        <v>78197</v>
      </c>
      <c r="G157" s="330"/>
    </row>
    <row r="158" spans="1:10">
      <c r="A158" s="30">
        <v>33</v>
      </c>
      <c r="B158" s="342" t="s">
        <v>71</v>
      </c>
      <c r="C158" s="303">
        <v>170645</v>
      </c>
      <c r="G158" s="330"/>
    </row>
    <row r="159" spans="1:10">
      <c r="A159" s="30">
        <v>34</v>
      </c>
      <c r="B159" s="341" t="s">
        <v>310</v>
      </c>
      <c r="C159" s="331">
        <f>SUM(C160:C162)</f>
        <v>0</v>
      </c>
      <c r="G159" s="330"/>
    </row>
    <row r="160" spans="1:10">
      <c r="A160" s="25" t="s">
        <v>173</v>
      </c>
      <c r="B160" s="28" t="s">
        <v>72</v>
      </c>
      <c r="C160" s="303" t="s">
        <v>377</v>
      </c>
      <c r="G160" s="330"/>
    </row>
    <row r="161" spans="1:7">
      <c r="A161" s="27" t="s">
        <v>175</v>
      </c>
      <c r="B161" s="28" t="s">
        <v>73</v>
      </c>
      <c r="C161" s="303" t="s">
        <v>377</v>
      </c>
      <c r="G161" s="330"/>
    </row>
    <row r="162" spans="1:7">
      <c r="A162" s="27" t="s">
        <v>177</v>
      </c>
      <c r="B162" s="28" t="s">
        <v>214</v>
      </c>
      <c r="C162" s="303" t="s">
        <v>377</v>
      </c>
      <c r="G162" s="330"/>
    </row>
    <row r="163" spans="1:7">
      <c r="A163" s="23">
        <v>35</v>
      </c>
      <c r="B163" s="341" t="s">
        <v>311</v>
      </c>
      <c r="C163" s="331">
        <f>SUM(C164:C166)</f>
        <v>137894</v>
      </c>
      <c r="G163" s="330"/>
    </row>
    <row r="164" spans="1:7">
      <c r="A164" s="39" t="s">
        <v>312</v>
      </c>
      <c r="B164" s="342" t="s">
        <v>174</v>
      </c>
      <c r="C164" s="303">
        <v>20214</v>
      </c>
      <c r="G164" s="330"/>
    </row>
    <row r="165" spans="1:7">
      <c r="A165" s="27" t="s">
        <v>313</v>
      </c>
      <c r="B165" s="342" t="s">
        <v>176</v>
      </c>
      <c r="C165" s="303">
        <v>117407</v>
      </c>
      <c r="G165" s="330"/>
    </row>
    <row r="166" spans="1:7">
      <c r="A166" s="27" t="s">
        <v>314</v>
      </c>
      <c r="B166" s="342" t="s">
        <v>178</v>
      </c>
      <c r="C166" s="303">
        <v>273</v>
      </c>
      <c r="G166" s="330"/>
    </row>
    <row r="167" spans="1:7">
      <c r="G167" s="299"/>
    </row>
    <row r="168" spans="1:7">
      <c r="A168" s="23"/>
      <c r="B168" s="129" t="s">
        <v>87</v>
      </c>
      <c r="C168" s="343"/>
      <c r="D168" s="344"/>
      <c r="E168" s="345"/>
      <c r="F168" s="131"/>
      <c r="G168" s="299"/>
    </row>
    <row r="169" spans="1:7" ht="13.5" thickBot="1">
      <c r="A169" s="23">
        <v>36</v>
      </c>
      <c r="B169" s="346" t="s">
        <v>74</v>
      </c>
      <c r="C169" s="347">
        <v>2501</v>
      </c>
      <c r="D169" s="348"/>
      <c r="E169" s="349"/>
      <c r="F169" s="46"/>
      <c r="G169" s="350"/>
    </row>
    <row r="170" spans="1:7" ht="13.5" thickBot="1">
      <c r="A170" s="23">
        <v>37</v>
      </c>
      <c r="B170" s="342" t="s">
        <v>75</v>
      </c>
      <c r="C170" s="294">
        <v>4829</v>
      </c>
      <c r="D170" s="348"/>
      <c r="E170" s="349"/>
      <c r="F170" s="46"/>
      <c r="G170" s="350"/>
    </row>
    <row r="171" spans="1:7" ht="13.5" thickBot="1">
      <c r="A171" s="23">
        <v>38</v>
      </c>
      <c r="B171" s="341" t="s">
        <v>315</v>
      </c>
      <c r="C171" s="351">
        <v>7330</v>
      </c>
      <c r="D171" s="352"/>
      <c r="E171" s="353"/>
      <c r="F171" s="138"/>
      <c r="G171" s="350"/>
    </row>
    <row r="172" spans="1:7" ht="13.5" thickBot="1">
      <c r="A172" s="39" t="s">
        <v>118</v>
      </c>
      <c r="B172" s="28" t="s">
        <v>208</v>
      </c>
      <c r="C172" s="347">
        <v>4950</v>
      </c>
      <c r="D172" s="348"/>
      <c r="E172" s="349"/>
      <c r="F172" s="46"/>
      <c r="G172" s="350"/>
    </row>
    <row r="173" spans="1:7" ht="13.5" thickBot="1">
      <c r="A173" s="39" t="s">
        <v>119</v>
      </c>
      <c r="B173" s="28" t="s">
        <v>209</v>
      </c>
      <c r="C173" s="347">
        <v>536</v>
      </c>
      <c r="D173" s="348"/>
      <c r="E173" s="349"/>
      <c r="F173" s="46"/>
      <c r="G173" s="350"/>
    </row>
    <row r="174" spans="1:7" ht="13.5" thickBot="1">
      <c r="A174" s="27" t="s">
        <v>120</v>
      </c>
      <c r="B174" s="28" t="s">
        <v>210</v>
      </c>
      <c r="C174" s="347">
        <v>1844</v>
      </c>
      <c r="D174" s="348"/>
      <c r="E174" s="349"/>
      <c r="F174" s="46"/>
      <c r="G174" s="350"/>
    </row>
    <row r="175" spans="1:7">
      <c r="A175" s="23">
        <v>39</v>
      </c>
      <c r="B175" s="341" t="s">
        <v>316</v>
      </c>
      <c r="C175" s="303" t="s">
        <v>377</v>
      </c>
      <c r="D175" s="348"/>
      <c r="E175" s="349"/>
      <c r="F175" s="46"/>
      <c r="G175" s="350"/>
    </row>
    <row r="176" spans="1:7">
      <c r="A176" s="39" t="s">
        <v>317</v>
      </c>
      <c r="B176" s="28" t="s">
        <v>76</v>
      </c>
      <c r="C176" s="303" t="s">
        <v>377</v>
      </c>
      <c r="D176" s="348"/>
      <c r="E176" s="349"/>
      <c r="F176" s="46"/>
      <c r="G176" s="350"/>
    </row>
    <row r="177" spans="1:7">
      <c r="A177" s="39" t="s">
        <v>318</v>
      </c>
      <c r="B177" s="28" t="s">
        <v>77</v>
      </c>
      <c r="C177" s="303" t="s">
        <v>377</v>
      </c>
      <c r="D177" s="348"/>
      <c r="E177" s="349"/>
      <c r="F177" s="46"/>
      <c r="G177" s="350"/>
    </row>
    <row r="178" spans="1:7">
      <c r="A178" s="27" t="s">
        <v>319</v>
      </c>
      <c r="B178" s="28" t="s">
        <v>78</v>
      </c>
      <c r="C178" s="303" t="s">
        <v>377</v>
      </c>
      <c r="D178" s="348"/>
      <c r="E178" s="349"/>
      <c r="F178" s="46"/>
      <c r="G178" s="350"/>
    </row>
    <row r="179" spans="1:7">
      <c r="A179" s="39"/>
      <c r="B179" s="28"/>
      <c r="C179" s="354"/>
      <c r="D179" s="348"/>
      <c r="E179" s="349"/>
      <c r="F179" s="46"/>
      <c r="G179" s="350"/>
    </row>
    <row r="180" spans="1:7" ht="25.5">
      <c r="A180" s="39"/>
      <c r="B180" s="139" t="s">
        <v>88</v>
      </c>
      <c r="C180" s="354"/>
      <c r="D180" s="348"/>
      <c r="E180" s="349"/>
      <c r="F180" s="46"/>
      <c r="G180" s="350"/>
    </row>
    <row r="181" spans="1:7">
      <c r="A181" s="23">
        <v>40</v>
      </c>
      <c r="B181" s="342" t="s">
        <v>74</v>
      </c>
      <c r="C181" s="354">
        <v>4453</v>
      </c>
      <c r="D181" s="348"/>
      <c r="E181" s="349"/>
      <c r="F181" s="46"/>
      <c r="G181" s="350"/>
    </row>
    <row r="182" spans="1:7">
      <c r="A182" s="23">
        <v>41</v>
      </c>
      <c r="B182" s="342" t="s">
        <v>75</v>
      </c>
      <c r="C182" s="354">
        <v>2430</v>
      </c>
      <c r="D182" s="348"/>
      <c r="E182" s="349"/>
      <c r="F182" s="46"/>
      <c r="G182" s="350"/>
    </row>
    <row r="183" spans="1:7">
      <c r="A183" s="23">
        <v>42</v>
      </c>
      <c r="B183" s="341" t="s">
        <v>320</v>
      </c>
      <c r="C183" s="355">
        <v>6883</v>
      </c>
      <c r="D183" s="348"/>
      <c r="E183" s="349"/>
      <c r="F183" s="46"/>
      <c r="G183" s="350"/>
    </row>
    <row r="184" spans="1:7">
      <c r="A184" s="39" t="s">
        <v>96</v>
      </c>
      <c r="B184" s="28" t="s">
        <v>211</v>
      </c>
      <c r="C184" s="356">
        <v>3659</v>
      </c>
      <c r="D184" s="348"/>
      <c r="E184" s="349"/>
      <c r="F184" s="46"/>
      <c r="G184" s="350"/>
    </row>
    <row r="185" spans="1:7">
      <c r="A185" s="39" t="s">
        <v>97</v>
      </c>
      <c r="B185" s="28" t="s">
        <v>212</v>
      </c>
      <c r="C185" s="354">
        <v>419</v>
      </c>
      <c r="D185" s="357"/>
      <c r="E185" s="358"/>
      <c r="F185" s="46"/>
      <c r="G185" s="350"/>
    </row>
    <row r="186" spans="1:7">
      <c r="A186" s="27" t="s">
        <v>98</v>
      </c>
      <c r="B186" s="28" t="s">
        <v>213</v>
      </c>
      <c r="C186" s="303">
        <v>2805</v>
      </c>
      <c r="D186" s="333"/>
      <c r="E186" s="333"/>
      <c r="F186" s="46"/>
      <c r="G186" s="350"/>
    </row>
    <row r="187" spans="1:7">
      <c r="A187" s="23">
        <v>43</v>
      </c>
      <c r="B187" s="341" t="s">
        <v>321</v>
      </c>
      <c r="C187" s="303" t="s">
        <v>377</v>
      </c>
      <c r="D187" s="333"/>
      <c r="E187" s="333"/>
      <c r="F187" s="46"/>
      <c r="G187" s="350"/>
    </row>
    <row r="188" spans="1:7">
      <c r="A188" s="39" t="s">
        <v>100</v>
      </c>
      <c r="B188" s="28" t="s">
        <v>76</v>
      </c>
      <c r="C188" s="303" t="s">
        <v>377</v>
      </c>
      <c r="D188" s="333"/>
      <c r="E188" s="333"/>
      <c r="F188" s="46"/>
      <c r="G188" s="350"/>
    </row>
    <row r="189" spans="1:7">
      <c r="A189" s="39" t="s">
        <v>101</v>
      </c>
      <c r="B189" s="28" t="s">
        <v>77</v>
      </c>
      <c r="C189" s="303" t="s">
        <v>377</v>
      </c>
      <c r="D189" s="333"/>
      <c r="E189" s="333"/>
      <c r="F189" s="46"/>
      <c r="G189" s="350"/>
    </row>
    <row r="190" spans="1:7">
      <c r="A190" s="25" t="s">
        <v>102</v>
      </c>
      <c r="B190" s="13" t="s">
        <v>78</v>
      </c>
      <c r="C190" s="303" t="s">
        <v>377</v>
      </c>
      <c r="D190" s="333"/>
      <c r="E190" s="333"/>
      <c r="F190" s="46"/>
      <c r="G190" s="350"/>
    </row>
    <row r="191" spans="1:7">
      <c r="D191" s="359"/>
      <c r="E191" s="360"/>
      <c r="G191" s="299"/>
    </row>
    <row r="192" spans="1:7">
      <c r="A192" s="25"/>
      <c r="B192" s="263" t="s">
        <v>322</v>
      </c>
      <c r="C192" s="303"/>
      <c r="D192" s="1338" t="s">
        <v>81</v>
      </c>
      <c r="E192" s="1338"/>
      <c r="F192" s="131"/>
      <c r="G192" s="299"/>
    </row>
    <row r="193" spans="1:7">
      <c r="A193" s="25"/>
      <c r="B193" s="167"/>
      <c r="C193" s="361"/>
      <c r="D193" s="362" t="s">
        <v>82</v>
      </c>
      <c r="E193" s="363" t="s">
        <v>83</v>
      </c>
      <c r="F193" s="144"/>
      <c r="G193" s="299"/>
    </row>
    <row r="194" spans="1:7">
      <c r="A194" s="30">
        <v>44</v>
      </c>
      <c r="B194" s="263" t="s">
        <v>323</v>
      </c>
      <c r="C194" s="364">
        <f>SUM(C195:C197)</f>
        <v>2575</v>
      </c>
      <c r="D194" s="365" t="s">
        <v>377</v>
      </c>
      <c r="E194" s="366" t="s">
        <v>377</v>
      </c>
      <c r="F194" s="145"/>
      <c r="G194" s="299"/>
    </row>
    <row r="195" spans="1:7">
      <c r="A195" s="25" t="s">
        <v>121</v>
      </c>
      <c r="B195" s="13" t="s">
        <v>181</v>
      </c>
      <c r="C195" s="354">
        <v>761</v>
      </c>
      <c r="D195" s="366" t="s">
        <v>377</v>
      </c>
      <c r="E195" s="366" t="s">
        <v>377</v>
      </c>
      <c r="F195" s="46"/>
      <c r="G195" s="299"/>
    </row>
    <row r="196" spans="1:7">
      <c r="A196" s="25" t="s">
        <v>122</v>
      </c>
      <c r="B196" s="13" t="s">
        <v>182</v>
      </c>
      <c r="C196" s="337">
        <v>1814</v>
      </c>
      <c r="D196" s="366" t="s">
        <v>377</v>
      </c>
      <c r="E196" s="366" t="s">
        <v>377</v>
      </c>
      <c r="F196" s="46"/>
      <c r="G196" s="299"/>
    </row>
    <row r="197" spans="1:7">
      <c r="A197" s="27" t="s">
        <v>123</v>
      </c>
      <c r="B197" s="13" t="s">
        <v>180</v>
      </c>
      <c r="C197" s="354" t="s">
        <v>377</v>
      </c>
      <c r="D197" s="366" t="s">
        <v>377</v>
      </c>
      <c r="E197" s="366" t="s">
        <v>377</v>
      </c>
      <c r="F197" s="46"/>
      <c r="G197" s="299"/>
    </row>
    <row r="198" spans="1:7">
      <c r="A198" s="30">
        <v>45</v>
      </c>
      <c r="B198" s="263" t="s">
        <v>324</v>
      </c>
      <c r="C198" s="355">
        <v>21022</v>
      </c>
      <c r="D198" s="366" t="s">
        <v>377</v>
      </c>
      <c r="E198" s="366" t="s">
        <v>377</v>
      </c>
      <c r="F198" s="145"/>
      <c r="G198" s="299"/>
    </row>
    <row r="199" spans="1:7">
      <c r="A199" s="25" t="s">
        <v>325</v>
      </c>
      <c r="B199" s="13" t="s">
        <v>80</v>
      </c>
      <c r="C199" s="354">
        <v>21022</v>
      </c>
      <c r="D199" s="366" t="s">
        <v>377</v>
      </c>
      <c r="E199" s="366" t="s">
        <v>377</v>
      </c>
      <c r="F199" s="46"/>
      <c r="G199" s="299"/>
    </row>
    <row r="200" spans="1:7">
      <c r="A200" s="25" t="s">
        <v>326</v>
      </c>
      <c r="B200" s="13" t="s">
        <v>60</v>
      </c>
      <c r="C200" s="337">
        <v>1814</v>
      </c>
      <c r="D200" s="366" t="s">
        <v>377</v>
      </c>
      <c r="E200" s="366" t="s">
        <v>377</v>
      </c>
      <c r="F200" s="46"/>
      <c r="G200" s="299"/>
    </row>
    <row r="201" spans="1:7">
      <c r="A201" s="27" t="s">
        <v>327</v>
      </c>
      <c r="B201" s="13" t="s">
        <v>180</v>
      </c>
      <c r="C201" s="354" t="s">
        <v>377</v>
      </c>
      <c r="D201" s="366" t="s">
        <v>377</v>
      </c>
      <c r="E201" s="366" t="s">
        <v>377</v>
      </c>
      <c r="F201" s="46"/>
      <c r="G201" s="299"/>
    </row>
    <row r="202" spans="1:7">
      <c r="A202" s="1119"/>
      <c r="B202" s="1120"/>
      <c r="C202" s="1121"/>
      <c r="D202" s="1122"/>
      <c r="E202" s="1122"/>
      <c r="F202" s="46"/>
      <c r="G202" s="299"/>
    </row>
    <row r="203" spans="1:7">
      <c r="A203" s="30">
        <v>46</v>
      </c>
      <c r="B203" s="167" t="s">
        <v>203</v>
      </c>
      <c r="C203" s="354">
        <v>0</v>
      </c>
      <c r="D203" s="366" t="s">
        <v>377</v>
      </c>
      <c r="E203" s="366" t="s">
        <v>377</v>
      </c>
      <c r="F203" s="46"/>
      <c r="G203" s="299"/>
    </row>
    <row r="204" spans="1:7">
      <c r="A204" s="30">
        <v>47</v>
      </c>
      <c r="B204" s="49" t="s">
        <v>204</v>
      </c>
      <c r="C204" s="354">
        <v>0</v>
      </c>
      <c r="D204" s="366" t="s">
        <v>377</v>
      </c>
      <c r="E204" s="366" t="s">
        <v>377</v>
      </c>
      <c r="F204" s="46"/>
      <c r="G204" s="299"/>
    </row>
    <row r="205" spans="1:7">
      <c r="A205" s="30">
        <v>48</v>
      </c>
      <c r="B205" s="167" t="s">
        <v>179</v>
      </c>
      <c r="C205" s="337">
        <v>79</v>
      </c>
      <c r="D205" s="366" t="s">
        <v>377</v>
      </c>
      <c r="E205" s="366" t="s">
        <v>377</v>
      </c>
      <c r="F205" s="46"/>
      <c r="G205" s="299"/>
    </row>
    <row r="206" spans="1:7">
      <c r="A206" s="30">
        <v>49</v>
      </c>
      <c r="B206" s="167" t="s">
        <v>61</v>
      </c>
      <c r="C206" s="337">
        <v>2124</v>
      </c>
      <c r="D206" s="366" t="s">
        <v>377</v>
      </c>
      <c r="E206" s="366" t="s">
        <v>377</v>
      </c>
      <c r="F206" s="46"/>
      <c r="G206" s="299"/>
    </row>
    <row r="207" spans="1:7" ht="54.75" customHeight="1">
      <c r="A207" s="367">
        <v>50</v>
      </c>
      <c r="B207" s="368" t="s">
        <v>202</v>
      </c>
      <c r="C207" s="369" t="s">
        <v>377</v>
      </c>
      <c r="D207" s="1339" t="s">
        <v>623</v>
      </c>
      <c r="E207" s="1340"/>
      <c r="F207" s="47"/>
      <c r="G207" s="370"/>
    </row>
    <row r="208" spans="1:7">
      <c r="A208" s="47"/>
      <c r="B208" s="151"/>
      <c r="C208" s="371"/>
      <c r="D208" s="372"/>
      <c r="E208" s="372"/>
      <c r="F208" s="47"/>
      <c r="G208" s="299"/>
    </row>
    <row r="209" spans="1:7">
      <c r="A209" s="47"/>
      <c r="B209" s="263" t="s">
        <v>364</v>
      </c>
      <c r="C209" s="371"/>
      <c r="D209" s="372"/>
      <c r="E209" s="372"/>
      <c r="F209" s="47"/>
      <c r="G209" s="299"/>
    </row>
    <row r="210" spans="1:7">
      <c r="A210" s="4" t="s">
        <v>86</v>
      </c>
      <c r="B210" s="373" t="s">
        <v>8</v>
      </c>
      <c r="C210" s="340" t="s">
        <v>50</v>
      </c>
      <c r="D210" s="374" t="s">
        <v>51</v>
      </c>
      <c r="E210" s="374" t="s">
        <v>110</v>
      </c>
      <c r="F210" s="47"/>
      <c r="G210" s="299"/>
    </row>
    <row r="211" spans="1:7" s="1" customFormat="1">
      <c r="A211" s="38">
        <v>51</v>
      </c>
      <c r="B211" s="263" t="s">
        <v>328</v>
      </c>
      <c r="C211" s="366" t="s">
        <v>377</v>
      </c>
      <c r="D211" s="366" t="s">
        <v>377</v>
      </c>
      <c r="E211" s="374">
        <v>554</v>
      </c>
      <c r="F211" s="10"/>
      <c r="G211" s="375"/>
    </row>
    <row r="212" spans="1:7" s="1" customFormat="1">
      <c r="A212" s="27" t="s">
        <v>329</v>
      </c>
      <c r="B212" s="13" t="s">
        <v>226</v>
      </c>
      <c r="C212" s="366" t="s">
        <v>377</v>
      </c>
      <c r="D212" s="366" t="s">
        <v>377</v>
      </c>
      <c r="E212" s="374">
        <v>465</v>
      </c>
      <c r="F212" s="10"/>
      <c r="G212" s="375"/>
    </row>
    <row r="213" spans="1:7" s="1" customFormat="1">
      <c r="A213" s="27" t="s">
        <v>330</v>
      </c>
      <c r="B213" s="35" t="s">
        <v>128</v>
      </c>
      <c r="C213" s="366" t="s">
        <v>377</v>
      </c>
      <c r="D213" s="366" t="s">
        <v>377</v>
      </c>
      <c r="E213" s="374">
        <v>0</v>
      </c>
      <c r="F213" s="10"/>
      <c r="G213" s="375"/>
    </row>
    <row r="214" spans="1:7" s="1" customFormat="1">
      <c r="A214" s="27" t="s">
        <v>331</v>
      </c>
      <c r="B214" s="13" t="s">
        <v>227</v>
      </c>
      <c r="C214" s="366" t="s">
        <v>377</v>
      </c>
      <c r="D214" s="366" t="s">
        <v>377</v>
      </c>
      <c r="E214" s="374">
        <v>30</v>
      </c>
      <c r="F214" s="10"/>
      <c r="G214" s="375"/>
    </row>
    <row r="215" spans="1:7" s="1" customFormat="1">
      <c r="A215" s="27" t="s">
        <v>332</v>
      </c>
      <c r="B215" s="35" t="s">
        <v>130</v>
      </c>
      <c r="C215" s="366" t="s">
        <v>377</v>
      </c>
      <c r="D215" s="366" t="s">
        <v>377</v>
      </c>
      <c r="E215" s="374">
        <v>0</v>
      </c>
      <c r="F215" s="10"/>
      <c r="G215" s="375"/>
    </row>
    <row r="216" spans="1:7" s="1" customFormat="1">
      <c r="A216" s="27" t="s">
        <v>333</v>
      </c>
      <c r="B216" s="13" t="s">
        <v>232</v>
      </c>
      <c r="C216" s="366" t="s">
        <v>377</v>
      </c>
      <c r="D216" s="366" t="s">
        <v>377</v>
      </c>
      <c r="E216" s="374">
        <v>1</v>
      </c>
      <c r="F216" s="10"/>
      <c r="G216" s="375"/>
    </row>
    <row r="217" spans="1:7" s="1" customFormat="1">
      <c r="A217" s="27" t="s">
        <v>334</v>
      </c>
      <c r="B217" s="35" t="s">
        <v>131</v>
      </c>
      <c r="C217" s="366" t="s">
        <v>377</v>
      </c>
      <c r="D217" s="366" t="s">
        <v>377</v>
      </c>
      <c r="E217" s="374">
        <v>0</v>
      </c>
      <c r="F217" s="10"/>
      <c r="G217" s="375"/>
    </row>
    <row r="218" spans="1:7" s="1" customFormat="1">
      <c r="A218" s="27" t="s">
        <v>335</v>
      </c>
      <c r="B218" s="13" t="s">
        <v>233</v>
      </c>
      <c r="C218" s="366" t="s">
        <v>377</v>
      </c>
      <c r="D218" s="366" t="s">
        <v>377</v>
      </c>
      <c r="E218" s="374">
        <v>30</v>
      </c>
      <c r="F218" s="10"/>
      <c r="G218" s="375"/>
    </row>
    <row r="219" spans="1:7" s="1" customFormat="1">
      <c r="A219" s="27" t="s">
        <v>336</v>
      </c>
      <c r="B219" s="35" t="s">
        <v>132</v>
      </c>
      <c r="C219" s="366" t="s">
        <v>377</v>
      </c>
      <c r="D219" s="366" t="s">
        <v>377</v>
      </c>
      <c r="E219" s="374">
        <v>0</v>
      </c>
      <c r="F219" s="10"/>
      <c r="G219" s="375"/>
    </row>
    <row r="220" spans="1:7" s="1" customFormat="1">
      <c r="A220" s="27" t="s">
        <v>337</v>
      </c>
      <c r="B220" s="13" t="s">
        <v>234</v>
      </c>
      <c r="C220" s="366" t="s">
        <v>377</v>
      </c>
      <c r="D220" s="366" t="s">
        <v>377</v>
      </c>
      <c r="E220" s="374">
        <v>17</v>
      </c>
      <c r="F220" s="10"/>
      <c r="G220" s="375"/>
    </row>
    <row r="221" spans="1:7" s="1" customFormat="1">
      <c r="A221" s="27" t="s">
        <v>338</v>
      </c>
      <c r="B221" s="35" t="s">
        <v>133</v>
      </c>
      <c r="C221" s="366" t="s">
        <v>377</v>
      </c>
      <c r="D221" s="366" t="s">
        <v>377</v>
      </c>
      <c r="E221" s="374">
        <v>11</v>
      </c>
      <c r="F221" s="10"/>
      <c r="G221" s="375"/>
    </row>
    <row r="222" spans="1:7" s="1" customFormat="1">
      <c r="A222" s="27" t="s">
        <v>339</v>
      </c>
      <c r="B222" s="13" t="s">
        <v>235</v>
      </c>
      <c r="C222" s="366" t="s">
        <v>377</v>
      </c>
      <c r="D222" s="366" t="s">
        <v>377</v>
      </c>
      <c r="E222" s="374">
        <v>0</v>
      </c>
      <c r="F222" s="10"/>
      <c r="G222" s="375"/>
    </row>
    <row r="223" spans="1:7" s="1" customFormat="1">
      <c r="A223" s="27" t="s">
        <v>340</v>
      </c>
      <c r="B223" s="35" t="s">
        <v>134</v>
      </c>
      <c r="C223" s="366" t="s">
        <v>377</v>
      </c>
      <c r="D223" s="366" t="s">
        <v>377</v>
      </c>
      <c r="E223" s="374">
        <v>0</v>
      </c>
      <c r="F223" s="10"/>
      <c r="G223" s="375"/>
    </row>
    <row r="224" spans="1:7" s="1" customFormat="1">
      <c r="A224" s="27" t="s">
        <v>341</v>
      </c>
      <c r="B224" s="13" t="s">
        <v>236</v>
      </c>
      <c r="C224" s="366" t="s">
        <v>377</v>
      </c>
      <c r="D224" s="366" t="s">
        <v>377</v>
      </c>
      <c r="E224" s="374">
        <v>0</v>
      </c>
      <c r="F224" s="10"/>
      <c r="G224" s="375"/>
    </row>
    <row r="225" spans="1:9" s="1" customFormat="1">
      <c r="A225" s="27" t="s">
        <v>342</v>
      </c>
      <c r="B225" s="35" t="s">
        <v>135</v>
      </c>
      <c r="C225" s="366" t="s">
        <v>377</v>
      </c>
      <c r="D225" s="366" t="s">
        <v>377</v>
      </c>
      <c r="E225" s="374">
        <v>0</v>
      </c>
      <c r="F225" s="10"/>
      <c r="G225" s="375"/>
    </row>
    <row r="226" spans="1:9" s="1" customFormat="1">
      <c r="A226" s="27" t="s">
        <v>343</v>
      </c>
      <c r="B226" s="13" t="s">
        <v>237</v>
      </c>
      <c r="C226" s="366" t="s">
        <v>377</v>
      </c>
      <c r="D226" s="366" t="s">
        <v>377</v>
      </c>
      <c r="E226" s="374">
        <v>0</v>
      </c>
      <c r="F226" s="10"/>
      <c r="G226" s="375"/>
    </row>
    <row r="227" spans="1:9" s="1" customFormat="1" ht="25.5">
      <c r="A227" s="27" t="s">
        <v>344</v>
      </c>
      <c r="B227" s="152" t="s">
        <v>136</v>
      </c>
      <c r="C227" s="366" t="s">
        <v>377</v>
      </c>
      <c r="D227" s="366" t="s">
        <v>377</v>
      </c>
      <c r="E227" s="374">
        <v>0</v>
      </c>
      <c r="F227" s="10"/>
      <c r="G227" s="375"/>
    </row>
    <row r="228" spans="1:9">
      <c r="A228" s="47"/>
      <c r="B228" s="151"/>
      <c r="C228" s="371"/>
      <c r="D228" s="372"/>
      <c r="E228" s="372"/>
      <c r="F228" s="47"/>
      <c r="G228" s="47"/>
    </row>
    <row r="229" spans="1:9">
      <c r="A229" s="47"/>
      <c r="B229" s="153" t="s">
        <v>345</v>
      </c>
      <c r="C229" s="376"/>
      <c r="D229" s="377"/>
      <c r="E229" s="377"/>
      <c r="F229" s="154"/>
      <c r="G229" s="154"/>
    </row>
    <row r="230" spans="1:9" ht="25.5">
      <c r="A230" s="27" t="s">
        <v>346</v>
      </c>
      <c r="B230" s="155" t="s">
        <v>238</v>
      </c>
      <c r="C230" s="378">
        <v>11698</v>
      </c>
      <c r="D230" s="372"/>
      <c r="E230" s="372"/>
      <c r="F230" s="47"/>
      <c r="G230" s="299"/>
    </row>
    <row r="231" spans="1:9">
      <c r="A231" s="27" t="s">
        <v>347</v>
      </c>
      <c r="B231" s="152" t="s">
        <v>115</v>
      </c>
      <c r="C231" s="379" t="s">
        <v>377</v>
      </c>
      <c r="D231" s="372"/>
      <c r="E231" s="372"/>
      <c r="F231" s="47"/>
      <c r="G231" s="299"/>
    </row>
    <row r="232" spans="1:9" ht="25.5">
      <c r="A232" s="27" t="s">
        <v>348</v>
      </c>
      <c r="B232" s="155" t="s">
        <v>239</v>
      </c>
      <c r="C232" s="337">
        <v>526</v>
      </c>
      <c r="D232" s="1341" t="s">
        <v>624</v>
      </c>
      <c r="E232" s="1342"/>
      <c r="F232" s="1342"/>
      <c r="G232" s="1343"/>
      <c r="H232" s="1343"/>
    </row>
    <row r="233" spans="1:9">
      <c r="A233" s="27" t="s">
        <v>349</v>
      </c>
      <c r="B233" s="152" t="s">
        <v>116</v>
      </c>
      <c r="C233" s="380" t="s">
        <v>377</v>
      </c>
      <c r="D233" s="372"/>
      <c r="E233" s="372"/>
      <c r="F233" s="47"/>
      <c r="G233" s="299"/>
    </row>
    <row r="234" spans="1:9" ht="25.5">
      <c r="A234" s="27" t="s">
        <v>350</v>
      </c>
      <c r="B234" s="155" t="s">
        <v>240</v>
      </c>
      <c r="C234" s="380">
        <v>761</v>
      </c>
      <c r="D234" s="372"/>
      <c r="E234" s="372"/>
      <c r="F234" s="47"/>
      <c r="G234" s="299"/>
    </row>
    <row r="235" spans="1:9">
      <c r="A235" s="27" t="s">
        <v>351</v>
      </c>
      <c r="B235" s="152" t="s">
        <v>117</v>
      </c>
      <c r="C235" s="379" t="s">
        <v>377</v>
      </c>
      <c r="D235" s="372"/>
      <c r="E235" s="372"/>
      <c r="F235" s="47"/>
      <c r="G235" s="299"/>
    </row>
    <row r="236" spans="1:9">
      <c r="A236" s="158"/>
      <c r="B236" s="159"/>
      <c r="C236" s="371"/>
      <c r="D236" s="372"/>
      <c r="E236" s="372"/>
      <c r="F236" s="47"/>
      <c r="G236" s="299"/>
    </row>
    <row r="237" spans="1:9" ht="15.75">
      <c r="A237" s="1199" t="s">
        <v>89</v>
      </c>
      <c r="B237" s="1204"/>
      <c r="C237" s="1204"/>
      <c r="D237" s="1204"/>
      <c r="E237" s="1204"/>
      <c r="F237" s="1204"/>
      <c r="G237" s="1204"/>
      <c r="H237" s="1205"/>
      <c r="I237" s="120"/>
    </row>
    <row r="238" spans="1:9">
      <c r="A238" s="25" t="s">
        <v>86</v>
      </c>
      <c r="B238" s="167" t="s">
        <v>8</v>
      </c>
      <c r="C238" s="303" t="s">
        <v>0</v>
      </c>
      <c r="D238" s="333"/>
      <c r="E238" s="381"/>
      <c r="F238" s="40"/>
      <c r="G238" s="40"/>
      <c r="H238" s="330"/>
      <c r="I238" s="3"/>
    </row>
    <row r="239" spans="1:9">
      <c r="A239" s="30">
        <v>52</v>
      </c>
      <c r="B239" s="167" t="s">
        <v>62</v>
      </c>
      <c r="C239" s="303">
        <v>85</v>
      </c>
      <c r="D239" s="333"/>
      <c r="E239" s="381"/>
      <c r="F239" s="40"/>
      <c r="G239" s="330"/>
      <c r="I239" s="3"/>
    </row>
    <row r="240" spans="1:9" ht="15">
      <c r="A240" s="30">
        <v>53</v>
      </c>
      <c r="B240" s="167" t="s">
        <v>63</v>
      </c>
      <c r="C240" s="382">
        <v>42403</v>
      </c>
      <c r="D240" s="333"/>
      <c r="E240" s="381"/>
      <c r="F240" s="40"/>
      <c r="G240" s="330"/>
      <c r="I240" s="3"/>
    </row>
    <row r="241" spans="1:11">
      <c r="A241" s="30">
        <v>54</v>
      </c>
      <c r="B241" s="167" t="s">
        <v>215</v>
      </c>
      <c r="C241" s="303">
        <v>269.25</v>
      </c>
      <c r="D241" s="333"/>
      <c r="E241" s="381"/>
      <c r="F241" s="40"/>
      <c r="G241" s="330"/>
      <c r="I241" s="3"/>
    </row>
    <row r="242" spans="1:11">
      <c r="A242" s="30"/>
      <c r="B242" s="167"/>
      <c r="C242" s="337"/>
      <c r="D242" s="383"/>
      <c r="E242" s="381"/>
      <c r="F242" s="40"/>
      <c r="G242" s="40"/>
      <c r="H242" s="330"/>
      <c r="I242" s="3"/>
    </row>
    <row r="243" spans="1:11">
      <c r="A243" s="30"/>
      <c r="B243" s="384"/>
      <c r="C243" s="385" t="s">
        <v>625</v>
      </c>
      <c r="D243" s="386" t="s">
        <v>626</v>
      </c>
      <c r="E243" s="387"/>
      <c r="F243" s="25"/>
      <c r="G243" s="25"/>
      <c r="H243" s="388"/>
      <c r="I243" s="160"/>
    </row>
    <row r="244" spans="1:11" ht="13.5" thickBot="1">
      <c r="A244" s="30">
        <v>55</v>
      </c>
      <c r="B244" s="263" t="s">
        <v>217</v>
      </c>
      <c r="C244" s="389" t="s">
        <v>377</v>
      </c>
      <c r="D244" s="390">
        <v>1451</v>
      </c>
      <c r="E244" s="379"/>
      <c r="F244" s="379"/>
      <c r="G244" s="330"/>
      <c r="H244" s="391"/>
    </row>
    <row r="245" spans="1:11" ht="13.5" thickBot="1">
      <c r="A245" s="25" t="s">
        <v>353</v>
      </c>
      <c r="B245" s="13" t="s">
        <v>64</v>
      </c>
      <c r="C245" s="389" t="s">
        <v>377</v>
      </c>
      <c r="D245" s="392">
        <v>483</v>
      </c>
      <c r="E245" s="379"/>
      <c r="F245" s="379"/>
      <c r="G245" s="330"/>
      <c r="H245" s="391"/>
      <c r="K245" s="25"/>
    </row>
    <row r="246" spans="1:11" ht="13.5" thickBot="1">
      <c r="A246" s="27" t="s">
        <v>354</v>
      </c>
      <c r="B246" s="13" t="s">
        <v>65</v>
      </c>
      <c r="C246" s="389" t="s">
        <v>377</v>
      </c>
      <c r="D246" s="392">
        <v>0</v>
      </c>
      <c r="E246" s="379"/>
      <c r="F246" s="379"/>
      <c r="G246" s="330"/>
      <c r="H246" s="391"/>
    </row>
    <row r="247" spans="1:11" ht="13.5" thickBot="1">
      <c r="A247" s="27" t="s">
        <v>355</v>
      </c>
      <c r="B247" s="13" t="s">
        <v>66</v>
      </c>
      <c r="C247" s="389" t="s">
        <v>377</v>
      </c>
      <c r="D247" s="392">
        <v>20</v>
      </c>
      <c r="E247" s="379"/>
      <c r="F247" s="379"/>
      <c r="G247" s="330"/>
      <c r="H247" s="391"/>
    </row>
    <row r="248" spans="1:11" ht="13.5" thickBot="1">
      <c r="A248" s="27" t="s">
        <v>356</v>
      </c>
      <c r="B248" s="13" t="s">
        <v>67</v>
      </c>
      <c r="C248" s="389" t="s">
        <v>377</v>
      </c>
      <c r="D248" s="392">
        <v>12</v>
      </c>
      <c r="E248" s="379"/>
      <c r="F248" s="379"/>
      <c r="G248" s="330"/>
      <c r="H248" s="391"/>
    </row>
    <row r="249" spans="1:11" ht="13.5" thickBot="1">
      <c r="A249" s="25" t="s">
        <v>357</v>
      </c>
      <c r="B249" s="13" t="s">
        <v>68</v>
      </c>
      <c r="C249" s="389" t="s">
        <v>377</v>
      </c>
      <c r="D249" s="392">
        <v>23</v>
      </c>
      <c r="E249" s="379"/>
      <c r="F249" s="379"/>
      <c r="G249" s="330"/>
      <c r="H249" s="25"/>
    </row>
    <row r="250" spans="1:11" ht="25.5" thickBot="1">
      <c r="A250" s="27" t="s">
        <v>358</v>
      </c>
      <c r="B250" s="155" t="s">
        <v>183</v>
      </c>
      <c r="C250" s="389" t="s">
        <v>377</v>
      </c>
      <c r="D250" s="392">
        <v>914</v>
      </c>
      <c r="E250" s="379"/>
      <c r="F250" s="379"/>
      <c r="G250" s="330"/>
      <c r="H250" s="391"/>
    </row>
    <row r="251" spans="1:11" ht="15">
      <c r="B251" s="393"/>
    </row>
    <row r="252" spans="1:11">
      <c r="A252" s="38" t="s">
        <v>621</v>
      </c>
      <c r="B252" s="37" t="s">
        <v>622</v>
      </c>
      <c r="C252" s="338">
        <v>900</v>
      </c>
      <c r="D252" s="332" t="s">
        <v>377</v>
      </c>
      <c r="E252" s="332" t="s">
        <v>377</v>
      </c>
      <c r="F252" s="30"/>
      <c r="G252" s="330"/>
      <c r="I252" s="122"/>
    </row>
  </sheetData>
  <mergeCells count="98">
    <mergeCell ref="D18:E18"/>
    <mergeCell ref="A5:A6"/>
    <mergeCell ref="A7:A8"/>
    <mergeCell ref="A13:A14"/>
    <mergeCell ref="A16:H16"/>
    <mergeCell ref="D17:E17"/>
    <mergeCell ref="D31:E31"/>
    <mergeCell ref="D19:E19"/>
    <mergeCell ref="D20:E20"/>
    <mergeCell ref="D21:E21"/>
    <mergeCell ref="D22:E22"/>
    <mergeCell ref="A23:H23"/>
    <mergeCell ref="A24:H24"/>
    <mergeCell ref="D25:E25"/>
    <mergeCell ref="D26:E26"/>
    <mergeCell ref="D27:E27"/>
    <mergeCell ref="D28:E28"/>
    <mergeCell ref="D29:E29"/>
    <mergeCell ref="D43:E43"/>
    <mergeCell ref="D32:E32"/>
    <mergeCell ref="D33:E33"/>
    <mergeCell ref="D34:E34"/>
    <mergeCell ref="D35:E35"/>
    <mergeCell ref="D36:E36"/>
    <mergeCell ref="D37:E37"/>
    <mergeCell ref="D38:E38"/>
    <mergeCell ref="D39:E39"/>
    <mergeCell ref="A40:H40"/>
    <mergeCell ref="A41:H41"/>
    <mergeCell ref="D42:E42"/>
    <mergeCell ref="D55:E55"/>
    <mergeCell ref="D44:E44"/>
    <mergeCell ref="D45:E45"/>
    <mergeCell ref="D46:E46"/>
    <mergeCell ref="D47:E47"/>
    <mergeCell ref="D48:E48"/>
    <mergeCell ref="D49:E49"/>
    <mergeCell ref="D50:E50"/>
    <mergeCell ref="D51:E51"/>
    <mergeCell ref="D52:E52"/>
    <mergeCell ref="D53:E53"/>
    <mergeCell ref="D54:E54"/>
    <mergeCell ref="D67:E67"/>
    <mergeCell ref="D56:E56"/>
    <mergeCell ref="D57:E57"/>
    <mergeCell ref="D58:E58"/>
    <mergeCell ref="D59:E59"/>
    <mergeCell ref="D60:E60"/>
    <mergeCell ref="D61:E61"/>
    <mergeCell ref="D62:E62"/>
    <mergeCell ref="D63:E63"/>
    <mergeCell ref="D64:E64"/>
    <mergeCell ref="D65:E65"/>
    <mergeCell ref="D66:E66"/>
    <mergeCell ref="D80:E80"/>
    <mergeCell ref="D68:E68"/>
    <mergeCell ref="D69:E69"/>
    <mergeCell ref="D70:E70"/>
    <mergeCell ref="D71:E71"/>
    <mergeCell ref="D72:E72"/>
    <mergeCell ref="D73:E73"/>
    <mergeCell ref="D74:E74"/>
    <mergeCell ref="D75:E75"/>
    <mergeCell ref="D76:E77"/>
    <mergeCell ref="D78:E78"/>
    <mergeCell ref="D79:E79"/>
    <mergeCell ref="D92:E92"/>
    <mergeCell ref="D81:E81"/>
    <mergeCell ref="D82:E82"/>
    <mergeCell ref="D83:E83"/>
    <mergeCell ref="D84:E84"/>
    <mergeCell ref="D85:E85"/>
    <mergeCell ref="D86:E86"/>
    <mergeCell ref="D87:E87"/>
    <mergeCell ref="D88:E88"/>
    <mergeCell ref="D89:E89"/>
    <mergeCell ref="D90:E90"/>
    <mergeCell ref="D91:E91"/>
    <mergeCell ref="G138:H138"/>
    <mergeCell ref="D93:E93"/>
    <mergeCell ref="D94:E94"/>
    <mergeCell ref="D95:E95"/>
    <mergeCell ref="D96:E96"/>
    <mergeCell ref="D97:E97"/>
    <mergeCell ref="A99:H99"/>
    <mergeCell ref="A101:A102"/>
    <mergeCell ref="B101:B102"/>
    <mergeCell ref="C101:E101"/>
    <mergeCell ref="H101:H102"/>
    <mergeCell ref="C102:E102"/>
    <mergeCell ref="A237:H237"/>
    <mergeCell ref="A144:H144"/>
    <mergeCell ref="A145:H145"/>
    <mergeCell ref="B154:C154"/>
    <mergeCell ref="D192:E192"/>
    <mergeCell ref="D207:E207"/>
    <mergeCell ref="D232:F232"/>
    <mergeCell ref="G232:H232"/>
  </mergeCells>
  <hyperlinks>
    <hyperlink ref="G138" r:id="rId1"/>
    <hyperlink ref="B9" r:id="rId2"/>
  </hyperlinks>
  <pageMargins left="0.7" right="0.7" top="0.75" bottom="0.75" header="0.3" footer="0.3"/>
  <legacyDrawing r:id="rId3"/>
</worksheet>
</file>

<file path=xl/worksheets/sheet15.xml><?xml version="1.0" encoding="utf-8"?>
<worksheet xmlns="http://schemas.openxmlformats.org/spreadsheetml/2006/main" xmlns:r="http://schemas.openxmlformats.org/officeDocument/2006/relationships">
  <dimension ref="A1:J252"/>
  <sheetViews>
    <sheetView topLeftCell="A36" workbookViewId="0">
      <selection activeCell="A203" sqref="A203"/>
    </sheetView>
  </sheetViews>
  <sheetFormatPr defaultRowHeight="12.75"/>
  <cols>
    <col min="1" max="1" width="11.28515625" customWidth="1"/>
    <col min="2" max="2" width="60.28515625" customWidth="1"/>
    <col min="3" max="3" width="11.28515625" customWidth="1"/>
    <col min="4" max="4" width="10.7109375" customWidth="1"/>
    <col min="5" max="5" width="9.42578125" customWidth="1"/>
    <col min="6" max="6" width="6.28515625" customWidth="1"/>
    <col min="7" max="7" width="12.140625" customWidth="1"/>
    <col min="8" max="8" width="9.140625" customWidth="1"/>
  </cols>
  <sheetData>
    <row r="1" spans="1:8" ht="18">
      <c r="A1" s="65"/>
      <c r="B1" s="66" t="s">
        <v>241</v>
      </c>
      <c r="C1" s="66"/>
      <c r="D1" s="162" t="s">
        <v>393</v>
      </c>
      <c r="E1" s="67"/>
      <c r="F1" s="67"/>
      <c r="G1" s="66"/>
      <c r="H1" s="172"/>
    </row>
    <row r="2" spans="1:8">
      <c r="A2" s="69"/>
      <c r="B2" s="172"/>
      <c r="C2" s="69"/>
      <c r="D2" s="69"/>
      <c r="E2" s="69"/>
      <c r="F2" s="69"/>
      <c r="G2" s="172"/>
      <c r="H2" s="172"/>
    </row>
    <row r="3" spans="1:8" ht="15.75">
      <c r="A3" s="70" t="s">
        <v>161</v>
      </c>
      <c r="B3" s="71" t="s">
        <v>627</v>
      </c>
      <c r="C3" s="72"/>
      <c r="D3" s="73" t="s">
        <v>185</v>
      </c>
      <c r="E3" s="72"/>
      <c r="F3" s="72"/>
      <c r="G3" s="172"/>
      <c r="H3" s="172"/>
    </row>
    <row r="4" spans="1:8">
      <c r="A4" s="69"/>
      <c r="B4" s="172"/>
      <c r="C4" s="69"/>
      <c r="D4" s="69"/>
      <c r="E4" s="69"/>
      <c r="F4" s="69"/>
      <c r="G4" s="172"/>
      <c r="H4" s="172"/>
    </row>
    <row r="5" spans="1:8" ht="12.75" customHeight="1">
      <c r="A5" s="1231" t="s">
        <v>189</v>
      </c>
      <c r="B5" s="71" t="s">
        <v>628</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71" t="s">
        <v>629</v>
      </c>
      <c r="C7" s="72"/>
      <c r="D7" s="72"/>
      <c r="E7" s="72"/>
      <c r="F7" s="72"/>
      <c r="G7" s="172"/>
      <c r="H7" s="172"/>
    </row>
    <row r="8" spans="1:8">
      <c r="A8" s="1231"/>
      <c r="B8" s="172"/>
      <c r="C8" s="72"/>
      <c r="D8" s="75" t="s">
        <v>188</v>
      </c>
      <c r="E8" s="69"/>
      <c r="F8" s="69"/>
      <c r="G8" s="172"/>
      <c r="H8" s="172"/>
    </row>
    <row r="9" spans="1:8">
      <c r="A9" s="76" t="s">
        <v>190</v>
      </c>
      <c r="B9" s="173" t="s">
        <v>630</v>
      </c>
      <c r="C9" s="72"/>
      <c r="D9" s="69"/>
      <c r="E9" s="69"/>
      <c r="F9" s="69"/>
      <c r="G9" s="172"/>
      <c r="H9" s="172"/>
    </row>
    <row r="10" spans="1:8">
      <c r="A10" s="67"/>
      <c r="B10" s="172"/>
      <c r="C10" s="69"/>
      <c r="D10" s="77" t="s">
        <v>242</v>
      </c>
      <c r="E10" s="69"/>
      <c r="F10" s="78"/>
      <c r="G10" s="172"/>
      <c r="H10" s="172"/>
    </row>
    <row r="11" spans="1:8">
      <c r="A11" s="79" t="s">
        <v>162</v>
      </c>
      <c r="B11" s="71" t="s">
        <v>631</v>
      </c>
      <c r="C11" s="72"/>
      <c r="D11" s="69"/>
      <c r="E11" s="69"/>
      <c r="F11" s="69"/>
      <c r="G11" s="172"/>
      <c r="H11" s="172"/>
    </row>
    <row r="12" spans="1:8">
      <c r="A12" s="69"/>
      <c r="B12" s="172"/>
      <c r="C12" s="69"/>
      <c r="D12" s="67"/>
      <c r="E12" s="69"/>
      <c r="F12" s="69"/>
      <c r="G12" s="172"/>
      <c r="H12" s="172"/>
    </row>
    <row r="13" spans="1:8">
      <c r="A13" s="1232" t="s">
        <v>163</v>
      </c>
      <c r="B13" s="71" t="s">
        <v>632</v>
      </c>
      <c r="C13" s="72"/>
      <c r="D13" s="72"/>
      <c r="E13" s="69"/>
      <c r="F13" s="69"/>
      <c r="G13" s="172"/>
      <c r="H13" s="172"/>
    </row>
    <row r="14" spans="1:8">
      <c r="A14" s="1232"/>
      <c r="B14" s="172"/>
      <c r="C14" s="172"/>
      <c r="D14" s="172"/>
      <c r="E14" s="172"/>
      <c r="F14" s="172"/>
      <c r="G14" s="172"/>
      <c r="H14" s="172"/>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v>0</v>
      </c>
      <c r="D18" s="1218"/>
      <c r="E18" s="1218"/>
      <c r="F18" s="84"/>
      <c r="G18" s="85"/>
      <c r="H18" s="72"/>
    </row>
    <row r="19" spans="1:8" ht="25.5">
      <c r="A19" s="11" t="s">
        <v>111</v>
      </c>
      <c r="B19" s="86" t="s">
        <v>228</v>
      </c>
      <c r="C19" s="8">
        <v>3</v>
      </c>
      <c r="D19" s="1218"/>
      <c r="E19" s="1218"/>
      <c r="F19" s="84"/>
      <c r="G19" s="85"/>
      <c r="H19" s="72"/>
    </row>
    <row r="20" spans="1:8" ht="25.5">
      <c r="A20" s="11" t="s">
        <v>112</v>
      </c>
      <c r="B20" s="86" t="s">
        <v>229</v>
      </c>
      <c r="C20" s="8">
        <v>37</v>
      </c>
      <c r="D20" s="1218"/>
      <c r="E20" s="1218"/>
      <c r="F20" s="84"/>
      <c r="G20" s="85"/>
      <c r="H20" s="72"/>
    </row>
    <row r="21" spans="1:8" ht="25.5">
      <c r="A21" s="11" t="s">
        <v>113</v>
      </c>
      <c r="B21" s="87" t="s">
        <v>230</v>
      </c>
      <c r="C21" s="8">
        <v>2</v>
      </c>
      <c r="D21" s="1218"/>
      <c r="E21" s="1218"/>
      <c r="F21" s="84"/>
      <c r="G21" s="85"/>
      <c r="H21" s="72"/>
    </row>
    <row r="22" spans="1:8" ht="25.5">
      <c r="A22" s="11" t="s">
        <v>114</v>
      </c>
      <c r="B22" s="87" t="s">
        <v>231</v>
      </c>
      <c r="C22" s="14">
        <v>6</v>
      </c>
      <c r="D22" s="1218"/>
      <c r="E22" s="1218"/>
      <c r="F22" s="84"/>
      <c r="G22" s="85"/>
      <c r="H22" s="72"/>
    </row>
    <row r="23" spans="1:8">
      <c r="A23" s="1222"/>
      <c r="B23" s="1223"/>
      <c r="C23" s="1224"/>
      <c r="D23" s="1224"/>
      <c r="E23" s="1224"/>
      <c r="F23" s="1224"/>
      <c r="G23" s="1225"/>
      <c r="H23" s="80"/>
    </row>
    <row r="24" spans="1:8" ht="13.5">
      <c r="A24" s="1226" t="s">
        <v>360</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12.5</v>
      </c>
      <c r="D26" s="1218"/>
      <c r="E26" s="1218"/>
      <c r="F26" s="84"/>
      <c r="G26" s="85"/>
      <c r="H26" s="72"/>
    </row>
    <row r="27" spans="1:8">
      <c r="A27" s="8" t="s">
        <v>3</v>
      </c>
      <c r="B27" s="12" t="s">
        <v>4</v>
      </c>
      <c r="C27" s="15">
        <v>11.5</v>
      </c>
      <c r="D27" s="1218"/>
      <c r="E27" s="1218"/>
      <c r="F27" s="84"/>
      <c r="G27" s="85"/>
      <c r="H27" s="72"/>
    </row>
    <row r="28" spans="1:8">
      <c r="A28" s="11" t="s">
        <v>5</v>
      </c>
      <c r="B28" s="12" t="s">
        <v>144</v>
      </c>
      <c r="C28" s="15">
        <v>0</v>
      </c>
      <c r="D28" s="1218"/>
      <c r="E28" s="1218"/>
      <c r="F28" s="84"/>
      <c r="G28" s="85"/>
      <c r="H28" s="72"/>
    </row>
    <row r="29" spans="1:8">
      <c r="A29" s="8" t="s">
        <v>145</v>
      </c>
      <c r="B29" s="12" t="s">
        <v>146</v>
      </c>
      <c r="C29" s="15">
        <v>1</v>
      </c>
      <c r="D29" s="1220"/>
      <c r="E29" s="1229"/>
      <c r="F29" s="174"/>
      <c r="G29" s="85"/>
      <c r="H29" s="72"/>
    </row>
    <row r="30" spans="1:8">
      <c r="A30" s="8" t="s">
        <v>244</v>
      </c>
      <c r="B30" s="12" t="s">
        <v>245</v>
      </c>
      <c r="C30" s="15">
        <v>0</v>
      </c>
      <c r="D30" s="88"/>
      <c r="E30" s="174"/>
      <c r="F30" s="174"/>
      <c r="G30" s="85"/>
      <c r="H30" s="72"/>
    </row>
    <row r="31" spans="1:8">
      <c r="A31" s="5">
        <v>3</v>
      </c>
      <c r="B31" s="7" t="s">
        <v>14</v>
      </c>
      <c r="C31" s="50">
        <f>SUM(C32:C34)</f>
        <v>33.620000000000005</v>
      </c>
      <c r="D31" s="1218"/>
      <c r="E31" s="1218"/>
      <c r="F31" s="84"/>
      <c r="G31" s="85"/>
      <c r="H31" s="72"/>
    </row>
    <row r="32" spans="1:8">
      <c r="A32" s="8" t="s">
        <v>6</v>
      </c>
      <c r="B32" s="12" t="s">
        <v>7</v>
      </c>
      <c r="C32" s="15">
        <v>18.5</v>
      </c>
      <c r="D32" s="1218"/>
      <c r="E32" s="1218"/>
      <c r="F32" s="84"/>
      <c r="G32" s="85"/>
      <c r="H32" s="72"/>
    </row>
    <row r="33" spans="1:8">
      <c r="A33" s="11" t="s">
        <v>12</v>
      </c>
      <c r="B33" s="12" t="s">
        <v>15</v>
      </c>
      <c r="C33" s="15">
        <f>2.37+8.75</f>
        <v>11.120000000000001</v>
      </c>
      <c r="D33" s="1218"/>
      <c r="E33" s="1218"/>
      <c r="F33" s="84"/>
      <c r="G33" s="85"/>
      <c r="H33" s="72"/>
    </row>
    <row r="34" spans="1:8">
      <c r="A34" s="11" t="s">
        <v>13</v>
      </c>
      <c r="B34" s="12" t="s">
        <v>148</v>
      </c>
      <c r="C34" s="15">
        <v>4</v>
      </c>
      <c r="D34" s="1218"/>
      <c r="E34" s="1218"/>
      <c r="F34" s="84"/>
      <c r="G34" s="85"/>
      <c r="H34" s="72"/>
    </row>
    <row r="35" spans="1:8">
      <c r="A35" s="5">
        <v>4</v>
      </c>
      <c r="B35" s="16" t="s">
        <v>17</v>
      </c>
      <c r="C35" s="15">
        <v>0</v>
      </c>
      <c r="D35" s="1218"/>
      <c r="E35" s="1218"/>
      <c r="F35" s="84"/>
      <c r="G35" s="85"/>
      <c r="H35" s="72"/>
    </row>
    <row r="36" spans="1:8">
      <c r="A36" s="11" t="s">
        <v>16</v>
      </c>
      <c r="B36" s="12" t="s">
        <v>84</v>
      </c>
      <c r="C36" s="15">
        <v>0.22</v>
      </c>
      <c r="D36" s="1218"/>
      <c r="E36" s="1218"/>
      <c r="F36" s="84"/>
      <c r="G36" s="85"/>
      <c r="H36" s="72"/>
    </row>
    <row r="37" spans="1:8" ht="25.5">
      <c r="A37" s="5">
        <v>5</v>
      </c>
      <c r="B37" s="90" t="s">
        <v>26</v>
      </c>
      <c r="C37" s="15">
        <v>8.4700000000000006</v>
      </c>
      <c r="D37" s="1218"/>
      <c r="E37" s="1218"/>
      <c r="F37" s="84"/>
      <c r="G37" s="85"/>
      <c r="H37" s="72"/>
    </row>
    <row r="38" spans="1:8">
      <c r="A38" s="17" t="s">
        <v>147</v>
      </c>
      <c r="B38" s="16" t="s">
        <v>150</v>
      </c>
      <c r="C38" s="15">
        <v>0</v>
      </c>
      <c r="D38" s="1219"/>
      <c r="E38" s="1219"/>
      <c r="F38" s="81"/>
      <c r="G38" s="85"/>
      <c r="H38" s="72"/>
    </row>
    <row r="39" spans="1:8">
      <c r="A39" s="5">
        <v>6</v>
      </c>
      <c r="B39" s="7" t="s">
        <v>85</v>
      </c>
      <c r="C39" s="50">
        <f>SUM(C26+C31+C35+C37)</f>
        <v>54.59</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93">
        <f>SUM(C45:C47)</f>
        <v>1024804</v>
      </c>
      <c r="D44" s="1218"/>
      <c r="E44" s="1218"/>
      <c r="F44" s="84"/>
      <c r="G44" s="85"/>
      <c r="H44" s="72"/>
    </row>
    <row r="45" spans="1:8">
      <c r="A45" s="8" t="s">
        <v>11</v>
      </c>
      <c r="B45" s="12" t="s">
        <v>19</v>
      </c>
      <c r="C45" s="55">
        <v>907895</v>
      </c>
      <c r="D45" s="1218"/>
      <c r="E45" s="1218"/>
      <c r="F45" s="84"/>
      <c r="G45" s="85"/>
      <c r="H45" s="72"/>
    </row>
    <row r="46" spans="1:8">
      <c r="A46" s="11" t="s">
        <v>18</v>
      </c>
      <c r="B46" s="12" t="s">
        <v>151</v>
      </c>
      <c r="C46" s="55">
        <v>116909</v>
      </c>
      <c r="D46" s="1218"/>
      <c r="E46" s="1218"/>
      <c r="F46" s="84"/>
      <c r="G46" s="85"/>
      <c r="H46" s="72"/>
    </row>
    <row r="47" spans="1:8">
      <c r="A47" s="8" t="s">
        <v>247</v>
      </c>
      <c r="B47" s="12" t="s">
        <v>248</v>
      </c>
      <c r="C47" s="59">
        <v>0</v>
      </c>
      <c r="D47" s="84"/>
      <c r="E47" s="84"/>
      <c r="F47" s="84"/>
      <c r="G47" s="85"/>
      <c r="H47" s="72"/>
    </row>
    <row r="48" spans="1:8">
      <c r="A48" s="5">
        <v>8</v>
      </c>
      <c r="B48" s="7" t="s">
        <v>109</v>
      </c>
      <c r="C48" s="93">
        <f>SUM(C49:C51)</f>
        <v>1440598</v>
      </c>
      <c r="D48" s="1218"/>
      <c r="E48" s="1218"/>
      <c r="F48" s="84"/>
      <c r="G48" s="85"/>
      <c r="H48" s="72"/>
    </row>
    <row r="49" spans="1:8">
      <c r="A49" s="19" t="s">
        <v>20</v>
      </c>
      <c r="B49" s="20" t="s">
        <v>23</v>
      </c>
      <c r="C49" s="55">
        <v>741748</v>
      </c>
      <c r="D49" s="1218"/>
      <c r="E49" s="1218"/>
      <c r="F49" s="84"/>
      <c r="G49" s="85"/>
      <c r="H49" s="72"/>
    </row>
    <row r="50" spans="1:8">
      <c r="A50" s="11" t="s">
        <v>21</v>
      </c>
      <c r="B50" s="12" t="s">
        <v>24</v>
      </c>
      <c r="C50" s="55">
        <v>499542</v>
      </c>
      <c r="D50" s="1218"/>
      <c r="E50" s="1218"/>
      <c r="F50" s="84"/>
      <c r="G50" s="85"/>
      <c r="H50" s="72"/>
    </row>
    <row r="51" spans="1:8">
      <c r="A51" s="11" t="s">
        <v>22</v>
      </c>
      <c r="B51" s="12" t="s">
        <v>25</v>
      </c>
      <c r="C51" s="55">
        <v>199308</v>
      </c>
      <c r="D51" s="1218"/>
      <c r="E51" s="1218"/>
      <c r="F51" s="84"/>
      <c r="G51" s="85"/>
      <c r="H51" s="72"/>
    </row>
    <row r="52" spans="1:8" ht="25.5">
      <c r="A52" s="21">
        <v>9</v>
      </c>
      <c r="B52" s="22" t="s">
        <v>27</v>
      </c>
      <c r="C52" s="56">
        <v>188860</v>
      </c>
      <c r="D52" s="1218"/>
      <c r="E52" s="1218"/>
      <c r="F52" s="84"/>
      <c r="G52" s="85"/>
      <c r="H52" s="72"/>
    </row>
    <row r="53" spans="1:8">
      <c r="A53" s="21">
        <v>10</v>
      </c>
      <c r="B53" s="22" t="s">
        <v>249</v>
      </c>
      <c r="C53" s="56">
        <f>SUM(C44+C48+C52)</f>
        <v>2654262</v>
      </c>
      <c r="D53" s="88"/>
      <c r="E53" s="94"/>
      <c r="F53" s="94"/>
      <c r="G53" s="85"/>
      <c r="H53" s="72"/>
    </row>
    <row r="54" spans="1:8">
      <c r="A54" s="21"/>
      <c r="B54" s="22"/>
      <c r="C54" s="55"/>
      <c r="D54" s="1220"/>
      <c r="E54" s="1221"/>
      <c r="F54" s="94"/>
      <c r="G54" s="85"/>
      <c r="H54" s="72"/>
    </row>
    <row r="55" spans="1:8">
      <c r="A55" s="95"/>
      <c r="B55" s="92" t="s">
        <v>250</v>
      </c>
      <c r="C55" s="96"/>
      <c r="D55" s="1219"/>
      <c r="E55" s="1218"/>
      <c r="F55" s="84"/>
      <c r="G55" s="85"/>
      <c r="H55" s="72"/>
    </row>
    <row r="56" spans="1:8" ht="25.5">
      <c r="A56" s="97">
        <v>11</v>
      </c>
      <c r="B56" s="98" t="s">
        <v>251</v>
      </c>
      <c r="C56" s="99">
        <f>SUM(C57:C59)</f>
        <v>150475</v>
      </c>
      <c r="D56" s="1218"/>
      <c r="E56" s="1218"/>
      <c r="F56" s="84"/>
      <c r="G56" s="85"/>
      <c r="H56" s="72"/>
    </row>
    <row r="57" spans="1:8">
      <c r="A57" s="100" t="s">
        <v>30</v>
      </c>
      <c r="B57" s="101" t="s">
        <v>28</v>
      </c>
      <c r="C57" s="55">
        <v>119584</v>
      </c>
      <c r="D57" s="1218"/>
      <c r="E57" s="1218"/>
      <c r="F57" s="84"/>
      <c r="G57" s="85"/>
      <c r="H57" s="72"/>
    </row>
    <row r="58" spans="1:8">
      <c r="A58" s="100" t="s">
        <v>32</v>
      </c>
      <c r="B58" s="101" t="s">
        <v>363</v>
      </c>
      <c r="C58" s="55">
        <v>18310</v>
      </c>
      <c r="D58" s="1218"/>
      <c r="E58" s="1218"/>
      <c r="F58" s="84"/>
      <c r="G58" s="85"/>
      <c r="H58" s="72"/>
    </row>
    <row r="59" spans="1:8">
      <c r="A59" s="100" t="s">
        <v>34</v>
      </c>
      <c r="B59" s="101" t="s">
        <v>29</v>
      </c>
      <c r="C59" s="55">
        <v>12581</v>
      </c>
      <c r="D59" s="1218"/>
      <c r="E59" s="1218"/>
      <c r="F59" s="84"/>
      <c r="G59" s="85"/>
      <c r="H59" s="72"/>
    </row>
    <row r="60" spans="1:8" ht="38.25">
      <c r="A60" s="97">
        <v>12</v>
      </c>
      <c r="B60" s="98" t="s">
        <v>252</v>
      </c>
      <c r="C60" s="57">
        <f>SUM(C61+C62+C64+C65+C66)</f>
        <v>1043311</v>
      </c>
      <c r="D60" s="1218"/>
      <c r="E60" s="1218"/>
      <c r="F60" s="84"/>
      <c r="G60" s="85"/>
      <c r="H60" s="72"/>
    </row>
    <row r="61" spans="1:8">
      <c r="A61" s="100" t="s">
        <v>36</v>
      </c>
      <c r="B61" s="101" t="s">
        <v>31</v>
      </c>
      <c r="C61" s="55">
        <v>226972</v>
      </c>
      <c r="D61" s="1218"/>
      <c r="E61" s="1218"/>
      <c r="F61" s="84"/>
      <c r="G61" s="85"/>
      <c r="H61" s="72"/>
    </row>
    <row r="62" spans="1:8">
      <c r="A62" s="100" t="s">
        <v>38</v>
      </c>
      <c r="B62" s="101" t="s">
        <v>206</v>
      </c>
      <c r="C62" s="55">
        <v>815784</v>
      </c>
      <c r="D62" s="1218"/>
      <c r="E62" s="1218"/>
      <c r="F62" s="84"/>
      <c r="G62" s="85"/>
      <c r="H62" s="72"/>
    </row>
    <row r="63" spans="1:8">
      <c r="A63" s="100" t="s">
        <v>253</v>
      </c>
      <c r="B63" s="101" t="s">
        <v>33</v>
      </c>
      <c r="C63" s="55">
        <v>309097</v>
      </c>
      <c r="D63" s="1218"/>
      <c r="E63" s="1218"/>
      <c r="F63" s="84"/>
      <c r="G63" s="85"/>
      <c r="H63" s="72"/>
    </row>
    <row r="64" spans="1:8">
      <c r="A64" s="100" t="s">
        <v>39</v>
      </c>
      <c r="B64" s="101" t="s">
        <v>35</v>
      </c>
      <c r="C64" s="55">
        <v>328</v>
      </c>
      <c r="D64" s="1218"/>
      <c r="E64" s="1218"/>
      <c r="F64" s="84"/>
      <c r="G64" s="85"/>
      <c r="H64" s="72"/>
    </row>
    <row r="65" spans="1:8">
      <c r="A65" s="102" t="s">
        <v>254</v>
      </c>
      <c r="B65" s="101" t="s">
        <v>153</v>
      </c>
      <c r="C65" s="55">
        <v>227</v>
      </c>
      <c r="D65" s="1218"/>
      <c r="E65" s="1218"/>
      <c r="F65" s="84"/>
      <c r="G65" s="85"/>
      <c r="H65" s="72"/>
    </row>
    <row r="66" spans="1:8">
      <c r="A66" s="102" t="s">
        <v>255</v>
      </c>
      <c r="B66" s="103" t="s">
        <v>216</v>
      </c>
      <c r="C66" s="55">
        <v>0</v>
      </c>
      <c r="D66" s="1218"/>
      <c r="E66" s="1218"/>
      <c r="F66" s="84"/>
      <c r="G66" s="85"/>
      <c r="H66" s="72"/>
    </row>
    <row r="67" spans="1:8">
      <c r="A67" s="97">
        <v>13</v>
      </c>
      <c r="B67" s="104" t="s">
        <v>256</v>
      </c>
      <c r="C67" s="57">
        <f>SUM(C68:C69)</f>
        <v>7858</v>
      </c>
      <c r="D67" s="1218"/>
      <c r="E67" s="1218"/>
      <c r="F67" s="84"/>
      <c r="G67" s="85"/>
      <c r="H67" s="72"/>
    </row>
    <row r="68" spans="1:8">
      <c r="A68" s="100" t="s">
        <v>156</v>
      </c>
      <c r="B68" s="103" t="s">
        <v>40</v>
      </c>
      <c r="C68" s="55">
        <v>358</v>
      </c>
      <c r="D68" s="1218"/>
      <c r="E68" s="1218"/>
      <c r="F68" s="84"/>
      <c r="G68" s="85"/>
      <c r="H68" s="72"/>
    </row>
    <row r="69" spans="1:8">
      <c r="A69" s="100" t="s">
        <v>157</v>
      </c>
      <c r="B69" s="103" t="s">
        <v>41</v>
      </c>
      <c r="C69" s="55">
        <v>7500</v>
      </c>
      <c r="D69" s="1218"/>
      <c r="E69" s="1218"/>
      <c r="F69" s="84"/>
      <c r="G69" s="85"/>
      <c r="H69" s="72"/>
    </row>
    <row r="70" spans="1:8">
      <c r="A70" s="95">
        <v>14</v>
      </c>
      <c r="B70" s="82" t="s">
        <v>257</v>
      </c>
      <c r="C70" s="57">
        <f>SUM(C71:C75)</f>
        <v>486</v>
      </c>
      <c r="D70" s="1218"/>
      <c r="E70" s="1218"/>
      <c r="F70" s="84"/>
      <c r="G70" s="85"/>
      <c r="H70" s="72"/>
    </row>
    <row r="71" spans="1:8">
      <c r="A71" s="105" t="s">
        <v>42</v>
      </c>
      <c r="B71" s="106" t="s">
        <v>155</v>
      </c>
      <c r="C71" s="55">
        <v>486</v>
      </c>
      <c r="D71" s="1219"/>
      <c r="E71" s="1219"/>
      <c r="F71" s="81"/>
      <c r="G71" s="85"/>
      <c r="H71" s="72"/>
    </row>
    <row r="72" spans="1:8">
      <c r="A72" s="105" t="s">
        <v>43</v>
      </c>
      <c r="B72" s="107" t="s">
        <v>258</v>
      </c>
      <c r="C72" s="55">
        <v>0</v>
      </c>
      <c r="D72" s="81"/>
      <c r="E72" s="81"/>
      <c r="F72" s="81"/>
      <c r="G72" s="85"/>
      <c r="H72" s="72"/>
    </row>
    <row r="73" spans="1:8">
      <c r="A73" s="105" t="s">
        <v>45</v>
      </c>
      <c r="B73" s="108" t="s">
        <v>44</v>
      </c>
      <c r="C73" s="55">
        <v>0</v>
      </c>
      <c r="D73" s="1218"/>
      <c r="E73" s="1218"/>
      <c r="F73" s="84"/>
      <c r="G73" s="85"/>
      <c r="H73" s="72"/>
    </row>
    <row r="74" spans="1:8">
      <c r="A74" s="105" t="s">
        <v>154</v>
      </c>
      <c r="B74" s="108" t="s">
        <v>46</v>
      </c>
      <c r="C74" s="55">
        <v>0</v>
      </c>
      <c r="D74" s="1218"/>
      <c r="E74" s="1218"/>
      <c r="F74" s="84"/>
      <c r="G74" s="85"/>
      <c r="H74" s="72"/>
    </row>
    <row r="75" spans="1:8">
      <c r="A75" s="109" t="s">
        <v>259</v>
      </c>
      <c r="B75" s="108" t="s">
        <v>104</v>
      </c>
      <c r="C75" s="55">
        <v>0</v>
      </c>
      <c r="D75" s="1218"/>
      <c r="E75" s="1218"/>
      <c r="F75" s="84"/>
      <c r="G75" s="85"/>
      <c r="H75" s="72"/>
    </row>
    <row r="76" spans="1:8">
      <c r="A76" s="110">
        <v>15</v>
      </c>
      <c r="B76" s="82" t="s">
        <v>260</v>
      </c>
      <c r="C76" s="58">
        <f>SUM(C56,C60,C67,C70)</f>
        <v>1202130</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c r="A80" s="95">
        <v>16</v>
      </c>
      <c r="B80" s="112" t="s">
        <v>262</v>
      </c>
      <c r="C80" s="59">
        <f>SUM(C81:C85)</f>
        <v>96503</v>
      </c>
      <c r="D80" s="84"/>
      <c r="E80" s="84"/>
      <c r="F80" s="84"/>
      <c r="G80" s="85"/>
      <c r="H80" s="72"/>
    </row>
    <row r="81" spans="1:8">
      <c r="A81" s="109" t="s">
        <v>263</v>
      </c>
      <c r="B81" s="85" t="s">
        <v>264</v>
      </c>
      <c r="C81" s="55">
        <v>24400</v>
      </c>
      <c r="D81" s="84"/>
      <c r="E81" s="84"/>
      <c r="F81" s="84"/>
      <c r="G81" s="85"/>
      <c r="H81" s="72"/>
    </row>
    <row r="82" spans="1:8" ht="25.5">
      <c r="A82" s="109" t="s">
        <v>192</v>
      </c>
      <c r="B82" s="113" t="s">
        <v>207</v>
      </c>
      <c r="C82" s="55">
        <v>19709</v>
      </c>
      <c r="D82" s="84"/>
      <c r="E82" s="84"/>
      <c r="F82" s="84"/>
      <c r="G82" s="85"/>
      <c r="H82" s="72"/>
    </row>
    <row r="83" spans="1:8">
      <c r="A83" s="109" t="s">
        <v>193</v>
      </c>
      <c r="B83" s="85" t="s">
        <v>158</v>
      </c>
      <c r="C83" s="55">
        <v>34171</v>
      </c>
      <c r="D83" s="84"/>
      <c r="E83" s="84"/>
      <c r="F83" s="84"/>
      <c r="G83" s="85"/>
      <c r="H83" s="72"/>
    </row>
    <row r="84" spans="1:8">
      <c r="A84" s="109" t="s">
        <v>265</v>
      </c>
      <c r="B84" s="85" t="s">
        <v>159</v>
      </c>
      <c r="C84" s="55">
        <v>14333</v>
      </c>
      <c r="D84" s="84"/>
      <c r="E84" s="84"/>
      <c r="F84" s="84"/>
      <c r="G84" s="85"/>
      <c r="H84" s="72"/>
    </row>
    <row r="85" spans="1:8">
      <c r="A85" s="109" t="s">
        <v>266</v>
      </c>
      <c r="B85" s="85" t="s">
        <v>160</v>
      </c>
      <c r="C85" s="55">
        <v>3890</v>
      </c>
      <c r="D85" s="84"/>
      <c r="E85" s="84"/>
      <c r="F85" s="84"/>
      <c r="G85" s="85"/>
      <c r="H85" s="72"/>
    </row>
    <row r="86" spans="1:8">
      <c r="A86" s="110">
        <v>17</v>
      </c>
      <c r="B86" s="111" t="s">
        <v>191</v>
      </c>
      <c r="C86" s="59">
        <v>0</v>
      </c>
      <c r="D86" s="1218"/>
      <c r="E86" s="1218"/>
      <c r="F86" s="84"/>
      <c r="G86" s="82"/>
      <c r="H86" s="83"/>
    </row>
    <row r="87" spans="1:8">
      <c r="A87" s="110">
        <v>18</v>
      </c>
      <c r="B87" s="82" t="s">
        <v>267</v>
      </c>
      <c r="C87" s="57">
        <f>SUM(C88:C90)</f>
        <v>1923</v>
      </c>
      <c r="D87" s="1218"/>
      <c r="E87" s="1218"/>
      <c r="F87" s="84"/>
      <c r="G87" s="85"/>
      <c r="H87" s="72"/>
    </row>
    <row r="88" spans="1:8">
      <c r="A88" s="105" t="s">
        <v>268</v>
      </c>
      <c r="B88" s="114" t="s">
        <v>47</v>
      </c>
      <c r="C88" s="55" t="s">
        <v>400</v>
      </c>
      <c r="D88" s="1218"/>
      <c r="E88" s="1218"/>
      <c r="F88" s="84"/>
      <c r="G88" s="85"/>
      <c r="H88" s="72"/>
    </row>
    <row r="89" spans="1:8">
      <c r="A89" s="105" t="s">
        <v>269</v>
      </c>
      <c r="B89" s="114" t="s">
        <v>48</v>
      </c>
      <c r="C89" s="55">
        <f>241+1682</f>
        <v>1923</v>
      </c>
      <c r="D89" s="1218"/>
      <c r="E89" s="1218"/>
      <c r="F89" s="84"/>
      <c r="G89" s="85"/>
      <c r="H89" s="72"/>
    </row>
    <row r="90" spans="1:8">
      <c r="A90" s="105" t="s">
        <v>270</v>
      </c>
      <c r="B90" s="114" t="s">
        <v>105</v>
      </c>
      <c r="C90" s="96">
        <v>0</v>
      </c>
      <c r="D90" s="1218"/>
      <c r="E90" s="1218"/>
      <c r="F90" s="84"/>
      <c r="G90" s="85"/>
      <c r="H90" s="72"/>
    </row>
    <row r="91" spans="1:8">
      <c r="A91" s="110">
        <v>19</v>
      </c>
      <c r="B91" s="85" t="s">
        <v>205</v>
      </c>
      <c r="C91" s="96">
        <v>15354</v>
      </c>
      <c r="D91" s="1218"/>
      <c r="E91" s="1218"/>
      <c r="F91" s="84"/>
      <c r="G91" s="85"/>
      <c r="H91" s="72"/>
    </row>
    <row r="92" spans="1:8" ht="38.25">
      <c r="A92" s="110">
        <v>20</v>
      </c>
      <c r="B92" s="113" t="s">
        <v>106</v>
      </c>
      <c r="C92" s="96">
        <v>197156</v>
      </c>
      <c r="D92" s="1218"/>
      <c r="E92" s="1218"/>
      <c r="F92" s="84"/>
      <c r="G92" s="85"/>
      <c r="H92" s="72"/>
    </row>
    <row r="93" spans="1:8">
      <c r="A93" s="110">
        <v>21</v>
      </c>
      <c r="B93" s="85" t="s">
        <v>103</v>
      </c>
      <c r="C93" s="96">
        <v>54797</v>
      </c>
      <c r="D93" s="1218"/>
      <c r="E93" s="1218"/>
      <c r="F93" s="84"/>
      <c r="G93" s="85"/>
      <c r="H93" s="72"/>
    </row>
    <row r="94" spans="1:8" ht="25.5">
      <c r="A94" s="110">
        <v>22</v>
      </c>
      <c r="B94" s="113" t="s">
        <v>107</v>
      </c>
      <c r="C94" s="115">
        <v>9150</v>
      </c>
      <c r="D94" s="1218"/>
      <c r="E94" s="1218"/>
      <c r="F94" s="116"/>
      <c r="G94" s="394" t="s">
        <v>633</v>
      </c>
      <c r="H94" s="80"/>
    </row>
    <row r="95" spans="1:8" ht="25.5">
      <c r="A95" s="110">
        <v>23</v>
      </c>
      <c r="B95" s="113" t="s">
        <v>271</v>
      </c>
      <c r="C95" s="118">
        <f>SUM(C53,C76,C80,C86,C87,C91,C92,C93,C94)</f>
        <v>4231275</v>
      </c>
      <c r="D95" s="1218"/>
      <c r="E95" s="1218"/>
      <c r="F95" s="84"/>
      <c r="G95" s="85"/>
      <c r="H95" s="72"/>
    </row>
    <row r="96" spans="1:8">
      <c r="A96" s="109" t="s">
        <v>108</v>
      </c>
      <c r="B96" s="114" t="s">
        <v>49</v>
      </c>
      <c r="C96" s="96">
        <v>0</v>
      </c>
      <c r="D96" s="1218"/>
      <c r="E96" s="1218"/>
      <c r="F96" s="84"/>
      <c r="G96" s="85"/>
      <c r="H96" s="72"/>
    </row>
    <row r="97" spans="1:8" ht="15">
      <c r="A97" s="110">
        <v>24</v>
      </c>
      <c r="B97" s="85" t="s">
        <v>272</v>
      </c>
      <c r="C97" s="119">
        <f>SUM(C95,C96)</f>
        <v>4231275</v>
      </c>
      <c r="D97" s="1218"/>
      <c r="E97" s="1218"/>
      <c r="F97" s="84"/>
      <c r="G97" s="85"/>
      <c r="H97" s="72"/>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7943</v>
      </c>
      <c r="D103" s="51">
        <f>SUM(D104,D107:D110)</f>
        <v>-2818</v>
      </c>
      <c r="E103" s="34">
        <v>823132</v>
      </c>
      <c r="F103" s="34"/>
      <c r="G103" s="10"/>
      <c r="H103" s="3"/>
    </row>
    <row r="104" spans="1:8">
      <c r="A104" s="25" t="s">
        <v>91</v>
      </c>
      <c r="B104" s="13" t="s">
        <v>53</v>
      </c>
      <c r="C104" s="51">
        <v>5734</v>
      </c>
      <c r="D104" s="51">
        <v>-2155</v>
      </c>
      <c r="E104" s="34">
        <v>658129</v>
      </c>
      <c r="F104" s="34"/>
      <c r="G104" s="10"/>
      <c r="H104" s="3"/>
    </row>
    <row r="105" spans="1:8">
      <c r="A105" s="25" t="s">
        <v>194</v>
      </c>
      <c r="B105" s="35" t="s">
        <v>54</v>
      </c>
      <c r="C105" s="34">
        <v>4663</v>
      </c>
      <c r="D105" s="25">
        <v>-2142</v>
      </c>
      <c r="E105" s="34" t="s">
        <v>201</v>
      </c>
      <c r="F105" s="34"/>
      <c r="G105" s="10"/>
      <c r="H105" s="3"/>
    </row>
    <row r="106" spans="1:8">
      <c r="A106" s="25" t="s">
        <v>195</v>
      </c>
      <c r="B106" s="35" t="s">
        <v>55</v>
      </c>
      <c r="C106" s="34">
        <v>1071</v>
      </c>
      <c r="D106" s="25">
        <v>-13</v>
      </c>
      <c r="E106" s="34" t="s">
        <v>201</v>
      </c>
      <c r="F106" s="34"/>
      <c r="G106" s="10"/>
      <c r="H106" s="3"/>
    </row>
    <row r="107" spans="1:8">
      <c r="A107" s="25" t="s">
        <v>93</v>
      </c>
      <c r="B107" s="13" t="s">
        <v>56</v>
      </c>
      <c r="C107" s="34">
        <v>2012</v>
      </c>
      <c r="D107" s="34">
        <v>-659</v>
      </c>
      <c r="E107" s="34">
        <v>148780</v>
      </c>
      <c r="F107" s="34"/>
      <c r="G107" s="10"/>
      <c r="H107" s="3"/>
    </row>
    <row r="108" spans="1:8">
      <c r="A108" s="25" t="s">
        <v>275</v>
      </c>
      <c r="B108" s="13" t="s">
        <v>57</v>
      </c>
      <c r="C108" s="34">
        <v>197</v>
      </c>
      <c r="D108" s="34">
        <v>-4</v>
      </c>
      <c r="E108" s="34">
        <v>16223</v>
      </c>
      <c r="F108" s="34"/>
      <c r="G108" s="10"/>
      <c r="H108" s="3"/>
    </row>
    <row r="109" spans="1:8">
      <c r="A109" s="25" t="s">
        <v>276</v>
      </c>
      <c r="B109" s="13" t="s">
        <v>58</v>
      </c>
      <c r="C109" s="34">
        <v>0</v>
      </c>
      <c r="D109" s="34">
        <v>0</v>
      </c>
      <c r="E109" s="34">
        <v>0</v>
      </c>
      <c r="F109" s="34"/>
      <c r="G109" s="10"/>
      <c r="H109" s="3"/>
    </row>
    <row r="110" spans="1:8">
      <c r="A110" s="27" t="s">
        <v>277</v>
      </c>
      <c r="B110" s="13" t="s">
        <v>139</v>
      </c>
      <c r="C110" s="52">
        <v>0</v>
      </c>
      <c r="D110" s="51">
        <v>0</v>
      </c>
      <c r="E110" s="34">
        <v>0</v>
      </c>
      <c r="F110" s="34"/>
      <c r="G110" s="10"/>
      <c r="H110" s="3"/>
    </row>
    <row r="111" spans="1:8">
      <c r="A111" s="30">
        <v>26</v>
      </c>
      <c r="B111" s="18" t="s">
        <v>278</v>
      </c>
      <c r="C111" s="34">
        <v>5083</v>
      </c>
      <c r="D111" s="34">
        <v>-1324</v>
      </c>
      <c r="E111" s="34">
        <v>544228</v>
      </c>
      <c r="F111" s="34"/>
      <c r="G111" s="10" t="s">
        <v>634</v>
      </c>
      <c r="H111" s="3"/>
    </row>
    <row r="112" spans="1:8">
      <c r="A112" s="25" t="s">
        <v>92</v>
      </c>
      <c r="B112" s="13" t="s">
        <v>59</v>
      </c>
      <c r="C112" s="34">
        <v>50167</v>
      </c>
      <c r="D112" s="34">
        <v>-46554</v>
      </c>
      <c r="E112" s="34">
        <v>19807</v>
      </c>
      <c r="F112" s="34"/>
      <c r="G112" s="10" t="s">
        <v>635</v>
      </c>
      <c r="H112" s="3"/>
    </row>
    <row r="113" spans="1:8">
      <c r="A113" s="27" t="s">
        <v>94</v>
      </c>
      <c r="B113" s="13" t="s">
        <v>164</v>
      </c>
      <c r="C113" s="34">
        <v>0</v>
      </c>
      <c r="D113" s="34">
        <v>0</v>
      </c>
      <c r="E113" s="34">
        <v>0</v>
      </c>
      <c r="F113" s="34"/>
      <c r="G113" s="10"/>
      <c r="H113" s="3"/>
    </row>
    <row r="114" spans="1:8">
      <c r="A114" s="25"/>
      <c r="B114" s="13"/>
      <c r="C114" s="34"/>
      <c r="D114" s="34"/>
      <c r="E114" s="34"/>
      <c r="F114" s="34"/>
      <c r="G114" s="10"/>
      <c r="H114" s="3"/>
    </row>
    <row r="115" spans="1:8" ht="38.25">
      <c r="A115" s="36">
        <v>27</v>
      </c>
      <c r="B115" s="33" t="s">
        <v>279</v>
      </c>
      <c r="C115" s="51">
        <f>SUM(C116+C119)</f>
        <v>0</v>
      </c>
      <c r="D115" s="51">
        <f>SUM(D116+D119)</f>
        <v>-205</v>
      </c>
      <c r="E115" s="51">
        <f>SUM(E116+E119)</f>
        <v>143972</v>
      </c>
      <c r="F115" s="34"/>
      <c r="G115" s="10"/>
      <c r="H115" s="3"/>
    </row>
    <row r="116" spans="1:8" ht="25.5">
      <c r="A116" s="30" t="s">
        <v>196</v>
      </c>
      <c r="B116" s="126" t="s">
        <v>280</v>
      </c>
      <c r="C116" s="52">
        <f>SUM(C117,C118)</f>
        <v>0</v>
      </c>
      <c r="D116" s="52">
        <f>SUM(D117:D118)</f>
        <v>-193</v>
      </c>
      <c r="E116" s="51">
        <f>SUM(E117:E118)</f>
        <v>117862</v>
      </c>
      <c r="F116" s="25"/>
      <c r="G116" s="10" t="s">
        <v>636</v>
      </c>
      <c r="H116" s="3"/>
    </row>
    <row r="117" spans="1:8">
      <c r="A117" s="25" t="s">
        <v>281</v>
      </c>
      <c r="B117" s="35" t="s">
        <v>124</v>
      </c>
      <c r="C117" s="25">
        <v>0</v>
      </c>
      <c r="D117" s="25">
        <v>-193</v>
      </c>
      <c r="E117" s="34">
        <v>2834</v>
      </c>
      <c r="F117" s="25"/>
      <c r="G117" s="10"/>
      <c r="H117" s="3"/>
    </row>
    <row r="118" spans="1:8">
      <c r="A118" s="25" t="s">
        <v>282</v>
      </c>
      <c r="B118" s="35" t="s">
        <v>125</v>
      </c>
      <c r="C118" s="25">
        <v>0</v>
      </c>
      <c r="D118" s="25">
        <v>0</v>
      </c>
      <c r="E118" s="34">
        <v>115028</v>
      </c>
      <c r="F118" s="25"/>
      <c r="G118" s="10" t="s">
        <v>636</v>
      </c>
      <c r="H118" s="3"/>
    </row>
    <row r="119" spans="1:8" ht="25.5">
      <c r="A119" s="30" t="s">
        <v>283</v>
      </c>
      <c r="B119" s="126" t="s">
        <v>284</v>
      </c>
      <c r="C119" s="52">
        <f>SUM(C120:C122)</f>
        <v>0</v>
      </c>
      <c r="D119" s="52">
        <f>SUM(D120:D122)</f>
        <v>-12</v>
      </c>
      <c r="E119" s="51">
        <f>SUM(E120:E122)</f>
        <v>26110</v>
      </c>
      <c r="F119" s="25"/>
      <c r="G119" s="10" t="s">
        <v>637</v>
      </c>
      <c r="H119" s="3"/>
    </row>
    <row r="120" spans="1:8">
      <c r="A120" s="25" t="s">
        <v>285</v>
      </c>
      <c r="B120" s="35" t="s">
        <v>126</v>
      </c>
      <c r="C120" s="25">
        <v>0</v>
      </c>
      <c r="D120" s="25">
        <v>-12</v>
      </c>
      <c r="E120" s="34">
        <v>97</v>
      </c>
      <c r="F120" s="25"/>
      <c r="G120" s="10"/>
      <c r="H120" s="3"/>
    </row>
    <row r="121" spans="1:8">
      <c r="A121" s="27" t="s">
        <v>286</v>
      </c>
      <c r="B121" s="35" t="s">
        <v>287</v>
      </c>
      <c r="C121" s="25">
        <v>0</v>
      </c>
      <c r="D121" s="25">
        <v>0</v>
      </c>
      <c r="E121" s="34">
        <v>26013</v>
      </c>
      <c r="F121" s="25"/>
      <c r="G121" s="10" t="s">
        <v>637</v>
      </c>
      <c r="H121" s="3"/>
    </row>
    <row r="122" spans="1:8">
      <c r="A122" s="25" t="s">
        <v>288</v>
      </c>
      <c r="B122" s="35" t="s">
        <v>218</v>
      </c>
      <c r="C122" s="25">
        <v>0</v>
      </c>
      <c r="D122" s="25">
        <v>0</v>
      </c>
      <c r="E122" s="25">
        <v>0</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1">
        <f>SUM(C126:C127)</f>
        <v>489</v>
      </c>
      <c r="D125" s="51">
        <f>SUM(D126:D127)</f>
        <v>-20</v>
      </c>
      <c r="E125" s="51">
        <f>SUM(E126:E127)</f>
        <v>10886</v>
      </c>
      <c r="F125" s="25"/>
      <c r="G125" s="10"/>
      <c r="H125" s="3"/>
    </row>
    <row r="126" spans="1:8">
      <c r="A126" s="25" t="s">
        <v>127</v>
      </c>
      <c r="B126" s="24" t="s">
        <v>40</v>
      </c>
      <c r="C126" s="34">
        <v>92</v>
      </c>
      <c r="D126" s="34">
        <v>-5</v>
      </c>
      <c r="E126" s="34">
        <v>2984</v>
      </c>
      <c r="F126" s="25"/>
      <c r="G126" s="10"/>
      <c r="H126" s="3"/>
    </row>
    <row r="127" spans="1:8">
      <c r="A127" s="25" t="s">
        <v>129</v>
      </c>
      <c r="B127" s="24" t="s">
        <v>41</v>
      </c>
      <c r="C127" s="34">
        <v>397</v>
      </c>
      <c r="D127" s="34">
        <v>-15</v>
      </c>
      <c r="E127" s="34">
        <v>7902</v>
      </c>
      <c r="F127" s="25"/>
      <c r="G127" s="10"/>
      <c r="H127" s="3"/>
    </row>
    <row r="128" spans="1:8">
      <c r="A128" s="25"/>
      <c r="C128" s="34"/>
      <c r="D128" s="34"/>
      <c r="E128" s="34"/>
      <c r="F128" s="25"/>
      <c r="G128" s="10"/>
      <c r="H128" s="3"/>
    </row>
    <row r="129" spans="1:8">
      <c r="A129" s="30">
        <v>29</v>
      </c>
      <c r="B129" s="6" t="s">
        <v>290</v>
      </c>
      <c r="C129" s="34"/>
      <c r="D129" s="34"/>
      <c r="E129" s="34"/>
      <c r="F129" s="25"/>
      <c r="G129" s="10"/>
      <c r="H129" s="3"/>
    </row>
    <row r="130" spans="1:8">
      <c r="A130" s="30" t="s">
        <v>165</v>
      </c>
      <c r="B130" s="6" t="s">
        <v>37</v>
      </c>
      <c r="C130" s="34">
        <v>13</v>
      </c>
      <c r="D130" s="34">
        <v>-5</v>
      </c>
      <c r="E130" s="34">
        <v>1149</v>
      </c>
      <c r="F130" s="25"/>
      <c r="G130" s="10"/>
      <c r="H130" s="3"/>
    </row>
    <row r="131" spans="1:8">
      <c r="A131" s="30" t="s">
        <v>166</v>
      </c>
      <c r="B131" s="6" t="s">
        <v>79</v>
      </c>
      <c r="C131" s="34">
        <v>2</v>
      </c>
      <c r="D131" s="34">
        <v>-4</v>
      </c>
      <c r="E131" s="34">
        <v>24</v>
      </c>
      <c r="F131" s="25"/>
      <c r="G131" s="10"/>
      <c r="H131" s="3"/>
    </row>
    <row r="132" spans="1:8">
      <c r="A132" s="30" t="s">
        <v>291</v>
      </c>
      <c r="B132" s="29" t="s">
        <v>222</v>
      </c>
      <c r="C132" s="32">
        <v>30</v>
      </c>
      <c r="D132" s="32">
        <v>0</v>
      </c>
      <c r="E132" s="32">
        <v>1633</v>
      </c>
      <c r="F132" s="30"/>
      <c r="G132" s="6"/>
      <c r="H132" s="122"/>
    </row>
    <row r="133" spans="1:8">
      <c r="A133" s="30" t="s">
        <v>292</v>
      </c>
      <c r="B133" s="29" t="s">
        <v>293</v>
      </c>
      <c r="C133" s="32">
        <f>SUM(C134:C135)</f>
        <v>901</v>
      </c>
      <c r="D133" s="32">
        <f t="shared" ref="D133:E133" si="0">SUM(D134:D135)</f>
        <v>-815</v>
      </c>
      <c r="E133" s="32">
        <f t="shared" si="0"/>
        <v>1428459</v>
      </c>
      <c r="F133" s="30"/>
      <c r="G133" s="6"/>
      <c r="H133" s="122"/>
    </row>
    <row r="134" spans="1:8">
      <c r="A134" s="30" t="s">
        <v>294</v>
      </c>
      <c r="B134" s="29" t="s">
        <v>223</v>
      </c>
      <c r="C134" s="32">
        <v>0</v>
      </c>
      <c r="D134" s="32">
        <v>0</v>
      </c>
      <c r="E134" s="32">
        <v>17223</v>
      </c>
      <c r="F134" s="30"/>
      <c r="G134" s="6"/>
      <c r="H134" s="122"/>
    </row>
    <row r="135" spans="1:8">
      <c r="A135" s="30" t="s">
        <v>295</v>
      </c>
      <c r="B135" s="37" t="s">
        <v>224</v>
      </c>
      <c r="C135" s="32">
        <v>901</v>
      </c>
      <c r="D135" s="32">
        <v>-815</v>
      </c>
      <c r="E135" s="32">
        <v>1411236</v>
      </c>
      <c r="F135" s="30"/>
      <c r="G135" s="6"/>
      <c r="H135" s="122"/>
    </row>
    <row r="136" spans="1:8">
      <c r="A136" s="30" t="s">
        <v>296</v>
      </c>
      <c r="B136" s="37" t="s">
        <v>225</v>
      </c>
      <c r="C136" s="32">
        <v>0</v>
      </c>
      <c r="D136" s="32">
        <v>0</v>
      </c>
      <c r="E136" s="32">
        <v>0</v>
      </c>
      <c r="F136" s="30"/>
      <c r="G136" s="6"/>
      <c r="H136" s="122"/>
    </row>
    <row r="137" spans="1:8">
      <c r="A137" s="25"/>
      <c r="B137" s="6" t="s">
        <v>297</v>
      </c>
      <c r="C137" s="34"/>
      <c r="D137" s="34"/>
      <c r="E137" s="34"/>
      <c r="F137" s="25"/>
      <c r="G137" s="10" t="s">
        <v>638</v>
      </c>
      <c r="H137" s="3"/>
    </row>
    <row r="138" spans="1:8">
      <c r="A138" s="38" t="s">
        <v>298</v>
      </c>
      <c r="B138" s="37" t="s">
        <v>197</v>
      </c>
      <c r="C138" s="32">
        <v>0</v>
      </c>
      <c r="D138" s="32">
        <v>0</v>
      </c>
      <c r="E138" s="32">
        <v>0</v>
      </c>
      <c r="F138" s="30"/>
      <c r="G138" s="6"/>
      <c r="H138" s="122"/>
    </row>
    <row r="139" spans="1:8">
      <c r="A139" s="38" t="s">
        <v>299</v>
      </c>
      <c r="B139" s="37" t="s">
        <v>198</v>
      </c>
      <c r="C139" s="32">
        <v>0</v>
      </c>
      <c r="D139" s="32">
        <v>0</v>
      </c>
      <c r="E139" s="32">
        <v>0</v>
      </c>
      <c r="F139" s="30"/>
      <c r="G139" s="6"/>
      <c r="H139" s="122"/>
    </row>
    <row r="140" spans="1:8">
      <c r="A140" s="38" t="s">
        <v>300</v>
      </c>
      <c r="B140" s="37" t="s">
        <v>199</v>
      </c>
      <c r="C140" s="32">
        <v>0</v>
      </c>
      <c r="D140" s="32">
        <v>0</v>
      </c>
      <c r="E140" s="32">
        <v>0</v>
      </c>
      <c r="F140" s="30"/>
      <c r="G140" s="6"/>
      <c r="H140" s="122"/>
    </row>
    <row r="141" spans="1:8">
      <c r="A141" s="38" t="s">
        <v>301</v>
      </c>
      <c r="B141" s="37" t="s">
        <v>200</v>
      </c>
      <c r="C141" s="30" t="s">
        <v>201</v>
      </c>
      <c r="D141" s="30" t="s">
        <v>201</v>
      </c>
      <c r="E141" s="30" t="s">
        <v>201</v>
      </c>
      <c r="F141" s="30"/>
      <c r="G141" s="6"/>
      <c r="H141" s="122"/>
    </row>
    <row r="142" spans="1:8">
      <c r="A142" s="30" t="s">
        <v>302</v>
      </c>
      <c r="B142" s="37" t="s">
        <v>220</v>
      </c>
      <c r="C142" s="30">
        <v>23</v>
      </c>
      <c r="D142" s="30">
        <v>-7</v>
      </c>
      <c r="E142" s="30">
        <v>325</v>
      </c>
      <c r="F142" s="30"/>
      <c r="G142" s="6"/>
      <c r="H142" s="122"/>
    </row>
    <row r="143" spans="1:8">
      <c r="A143" s="30" t="s">
        <v>303</v>
      </c>
      <c r="B143" s="37" t="s">
        <v>221</v>
      </c>
      <c r="C143" s="30">
        <v>4</v>
      </c>
      <c r="D143" s="30">
        <v>0</v>
      </c>
      <c r="E143" s="30">
        <v>362</v>
      </c>
      <c r="F143" s="30"/>
      <c r="G143" s="10" t="s">
        <v>639</v>
      </c>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395">
        <f>SUM(C148:C149)</f>
        <v>12158231</v>
      </c>
    </row>
    <row r="148" spans="1:9">
      <c r="A148" s="27" t="s">
        <v>169</v>
      </c>
      <c r="B148" s="10" t="s">
        <v>167</v>
      </c>
      <c r="C148" s="396">
        <v>419551</v>
      </c>
    </row>
    <row r="149" spans="1:9">
      <c r="A149" s="27" t="s">
        <v>171</v>
      </c>
      <c r="B149" s="10" t="s">
        <v>168</v>
      </c>
      <c r="C149" s="396">
        <v>11738680</v>
      </c>
    </row>
    <row r="150" spans="1:9" ht="24.75">
      <c r="A150" s="38">
        <v>31</v>
      </c>
      <c r="B150" s="33" t="s">
        <v>305</v>
      </c>
      <c r="C150" s="9"/>
    </row>
    <row r="151" spans="1:9">
      <c r="A151" s="27" t="s">
        <v>137</v>
      </c>
      <c r="B151" s="10" t="s">
        <v>170</v>
      </c>
      <c r="C151" s="170">
        <v>368573</v>
      </c>
    </row>
    <row r="152" spans="1:9">
      <c r="A152" s="27" t="s">
        <v>138</v>
      </c>
      <c r="B152" s="10" t="s">
        <v>172</v>
      </c>
      <c r="C152" s="170">
        <v>987671</v>
      </c>
    </row>
    <row r="153" spans="1:9">
      <c r="A153" s="27"/>
      <c r="B153" s="10"/>
      <c r="C153" s="9"/>
    </row>
    <row r="154" spans="1:9">
      <c r="A154" s="30"/>
      <c r="B154" s="1201" t="s">
        <v>306</v>
      </c>
      <c r="C154" s="1202"/>
    </row>
    <row r="155" spans="1:9">
      <c r="A155" s="30">
        <v>32</v>
      </c>
      <c r="B155" s="26" t="s">
        <v>307</v>
      </c>
      <c r="C155" s="52">
        <f>SUM(C156,C157,C163)</f>
        <v>85804</v>
      </c>
    </row>
    <row r="156" spans="1:9">
      <c r="A156" s="25" t="s">
        <v>308</v>
      </c>
      <c r="B156" s="28" t="s">
        <v>69</v>
      </c>
      <c r="C156" s="25">
        <v>62098</v>
      </c>
    </row>
    <row r="157" spans="1:9">
      <c r="A157" s="27" t="s">
        <v>309</v>
      </c>
      <c r="B157" s="28" t="s">
        <v>70</v>
      </c>
      <c r="C157" s="25">
        <v>5609</v>
      </c>
    </row>
    <row r="158" spans="1:9">
      <c r="A158" s="30">
        <v>33</v>
      </c>
      <c r="B158" s="41" t="s">
        <v>71</v>
      </c>
      <c r="C158" s="25">
        <v>30088</v>
      </c>
    </row>
    <row r="159" spans="1:9">
      <c r="A159" s="30">
        <v>34</v>
      </c>
      <c r="B159" s="26" t="s">
        <v>310</v>
      </c>
      <c r="C159" s="52">
        <f>SUM(C160:C162)</f>
        <v>2001</v>
      </c>
    </row>
    <row r="160" spans="1:9">
      <c r="A160" s="25" t="s">
        <v>173</v>
      </c>
      <c r="B160" s="28" t="s">
        <v>72</v>
      </c>
      <c r="C160" s="25">
        <v>306</v>
      </c>
    </row>
    <row r="161" spans="1:7">
      <c r="A161" s="27" t="s">
        <v>175</v>
      </c>
      <c r="B161" s="28" t="s">
        <v>73</v>
      </c>
      <c r="C161" s="25">
        <v>844</v>
      </c>
    </row>
    <row r="162" spans="1:7">
      <c r="A162" s="27" t="s">
        <v>177</v>
      </c>
      <c r="B162" s="28" t="s">
        <v>214</v>
      </c>
      <c r="C162" s="25">
        <v>851</v>
      </c>
    </row>
    <row r="163" spans="1:7">
      <c r="A163" s="23">
        <v>35</v>
      </c>
      <c r="B163" s="26" t="s">
        <v>311</v>
      </c>
      <c r="C163" s="52">
        <f>SUM(C164:C166)</f>
        <v>18097</v>
      </c>
    </row>
    <row r="164" spans="1:7">
      <c r="A164" s="39" t="s">
        <v>312</v>
      </c>
      <c r="B164" s="41" t="s">
        <v>174</v>
      </c>
      <c r="C164" s="25">
        <v>6893</v>
      </c>
    </row>
    <row r="165" spans="1:7">
      <c r="A165" s="27" t="s">
        <v>313</v>
      </c>
      <c r="B165" s="41" t="s">
        <v>176</v>
      </c>
      <c r="C165" s="25">
        <v>11152</v>
      </c>
    </row>
    <row r="166" spans="1:7">
      <c r="A166" s="27" t="s">
        <v>314</v>
      </c>
      <c r="B166" s="41" t="s">
        <v>178</v>
      </c>
      <c r="C166" s="25">
        <v>52</v>
      </c>
    </row>
    <row r="168" spans="1:7">
      <c r="A168" s="23"/>
      <c r="B168" s="129" t="s">
        <v>87</v>
      </c>
      <c r="C168" s="127"/>
      <c r="D168" s="127"/>
      <c r="E168" s="130"/>
      <c r="F168" s="131"/>
    </row>
    <row r="169" spans="1:7">
      <c r="A169" s="23">
        <v>36</v>
      </c>
      <c r="B169" s="132" t="s">
        <v>74</v>
      </c>
      <c r="C169" s="133">
        <v>2889</v>
      </c>
      <c r="D169" s="134"/>
      <c r="E169" s="46"/>
      <c r="F169" s="46"/>
      <c r="G169" s="135"/>
    </row>
    <row r="170" spans="1:7">
      <c r="A170" s="23">
        <v>37</v>
      </c>
      <c r="B170" s="41" t="s">
        <v>75</v>
      </c>
      <c r="C170" s="136">
        <v>2971</v>
      </c>
      <c r="D170" s="134"/>
      <c r="E170" s="46"/>
      <c r="F170" s="46"/>
      <c r="G170" s="135"/>
    </row>
    <row r="171" spans="1:7">
      <c r="A171" s="23">
        <v>38</v>
      </c>
      <c r="B171" s="26" t="s">
        <v>315</v>
      </c>
      <c r="C171" s="54">
        <f>SUM(C172:C174)</f>
        <v>5743</v>
      </c>
      <c r="D171" s="137"/>
      <c r="E171" s="138"/>
      <c r="F171" s="138"/>
      <c r="G171" s="138"/>
    </row>
    <row r="172" spans="1:7">
      <c r="A172" s="39" t="s">
        <v>118</v>
      </c>
      <c r="B172" s="28" t="s">
        <v>208</v>
      </c>
      <c r="C172" s="133">
        <v>2978</v>
      </c>
      <c r="D172" s="134"/>
      <c r="E172" s="46"/>
      <c r="F172" s="46"/>
      <c r="G172" s="135"/>
    </row>
    <row r="173" spans="1:7">
      <c r="A173" s="39" t="s">
        <v>119</v>
      </c>
      <c r="B173" s="28" t="s">
        <v>209</v>
      </c>
      <c r="C173" s="40">
        <v>700</v>
      </c>
      <c r="D173" s="134"/>
      <c r="E173" s="46"/>
      <c r="F173" s="46"/>
      <c r="G173" s="135"/>
    </row>
    <row r="174" spans="1:7">
      <c r="A174" s="27" t="s">
        <v>120</v>
      </c>
      <c r="B174" s="28" t="s">
        <v>210</v>
      </c>
      <c r="C174" s="40">
        <v>2065</v>
      </c>
      <c r="D174" s="134"/>
      <c r="E174" s="46"/>
      <c r="F174" s="46"/>
      <c r="G174" s="135"/>
    </row>
    <row r="175" spans="1:7">
      <c r="A175" s="23">
        <v>39</v>
      </c>
      <c r="B175" s="26" t="s">
        <v>316</v>
      </c>
      <c r="C175" s="54">
        <f>SUM(C176:C178)</f>
        <v>14295</v>
      </c>
      <c r="D175" s="134"/>
      <c r="E175" s="46"/>
      <c r="F175" s="46"/>
      <c r="G175" s="135"/>
    </row>
    <row r="176" spans="1:7">
      <c r="A176" s="39" t="s">
        <v>317</v>
      </c>
      <c r="B176" s="28" t="s">
        <v>76</v>
      </c>
      <c r="C176" s="40">
        <v>4289</v>
      </c>
      <c r="D176" s="134"/>
      <c r="E176" s="46"/>
      <c r="F176" s="46"/>
      <c r="G176" s="135"/>
    </row>
    <row r="177" spans="1:7">
      <c r="A177" s="39" t="s">
        <v>318</v>
      </c>
      <c r="B177" s="28" t="s">
        <v>77</v>
      </c>
      <c r="C177" s="40">
        <v>28</v>
      </c>
      <c r="D177" s="134"/>
      <c r="E177" s="46"/>
      <c r="F177" s="46"/>
      <c r="G177" s="135"/>
    </row>
    <row r="178" spans="1:7">
      <c r="A178" s="27" t="s">
        <v>319</v>
      </c>
      <c r="B178" s="28" t="s">
        <v>78</v>
      </c>
      <c r="C178" s="40">
        <v>9978</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1140</v>
      </c>
      <c r="D181" s="134"/>
      <c r="E181" s="46"/>
      <c r="F181" s="46"/>
      <c r="G181" s="135"/>
    </row>
    <row r="182" spans="1:7">
      <c r="A182" s="23">
        <v>41</v>
      </c>
      <c r="B182" s="41" t="s">
        <v>75</v>
      </c>
      <c r="C182" s="40">
        <v>5913</v>
      </c>
      <c r="D182" s="134"/>
      <c r="E182" s="46"/>
      <c r="F182" s="46"/>
      <c r="G182" s="135"/>
    </row>
    <row r="183" spans="1:7">
      <c r="A183" s="23">
        <v>42</v>
      </c>
      <c r="B183" s="26" t="s">
        <v>320</v>
      </c>
      <c r="C183" s="54">
        <f>SUM(C184:C186)</f>
        <v>6628</v>
      </c>
      <c r="D183" s="134"/>
      <c r="E183" s="46"/>
      <c r="F183" s="46"/>
      <c r="G183" s="135"/>
    </row>
    <row r="184" spans="1:7">
      <c r="A184" s="39" t="s">
        <v>96</v>
      </c>
      <c r="B184" s="28" t="s">
        <v>211</v>
      </c>
      <c r="C184" s="136">
        <v>2564</v>
      </c>
      <c r="D184" s="134"/>
      <c r="E184" s="46"/>
      <c r="F184" s="46"/>
      <c r="G184" s="135"/>
    </row>
    <row r="185" spans="1:7">
      <c r="A185" s="39" t="s">
        <v>97</v>
      </c>
      <c r="B185" s="28" t="s">
        <v>212</v>
      </c>
      <c r="C185" s="40">
        <v>1088</v>
      </c>
      <c r="D185" s="140"/>
      <c r="E185" s="141"/>
      <c r="F185" s="46"/>
      <c r="G185" s="135"/>
    </row>
    <row r="186" spans="1:7">
      <c r="A186" s="27" t="s">
        <v>98</v>
      </c>
      <c r="B186" s="28" t="s">
        <v>213</v>
      </c>
      <c r="C186" s="25">
        <v>2976</v>
      </c>
      <c r="D186" s="25"/>
      <c r="E186" s="25"/>
      <c r="F186" s="46"/>
    </row>
    <row r="187" spans="1:7">
      <c r="A187" s="23">
        <v>43</v>
      </c>
      <c r="B187" s="26" t="s">
        <v>321</v>
      </c>
      <c r="C187" s="54">
        <f>SUM(C188:C190)</f>
        <v>8918</v>
      </c>
      <c r="D187" s="25"/>
      <c r="E187" s="25"/>
      <c r="F187" s="46"/>
    </row>
    <row r="188" spans="1:7">
      <c r="A188" s="39" t="s">
        <v>100</v>
      </c>
      <c r="B188" s="28" t="s">
        <v>76</v>
      </c>
      <c r="C188" s="40">
        <v>3056</v>
      </c>
      <c r="D188" s="25"/>
      <c r="E188" s="25"/>
      <c r="F188" s="46"/>
    </row>
    <row r="189" spans="1:7">
      <c r="A189" s="39" t="s">
        <v>101</v>
      </c>
      <c r="B189" s="28" t="s">
        <v>77</v>
      </c>
      <c r="C189" s="40">
        <v>48</v>
      </c>
      <c r="D189" s="25"/>
      <c r="E189" s="25"/>
      <c r="F189" s="46"/>
    </row>
    <row r="190" spans="1:7">
      <c r="A190" s="25" t="s">
        <v>102</v>
      </c>
      <c r="B190" s="13" t="s">
        <v>78</v>
      </c>
      <c r="C190" s="40">
        <v>5814</v>
      </c>
      <c r="D190" s="25"/>
      <c r="E190" s="25"/>
      <c r="F190" s="46"/>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f>SUM(C195:C197)</f>
        <v>269</v>
      </c>
      <c r="D194" s="52">
        <f>SUM(D195:D197)</f>
        <v>0</v>
      </c>
      <c r="E194" s="52">
        <f>SUM(E195:E197)</f>
        <v>0</v>
      </c>
      <c r="F194" s="145"/>
    </row>
    <row r="195" spans="1:6">
      <c r="A195" s="25" t="s">
        <v>121</v>
      </c>
      <c r="B195" s="13" t="s">
        <v>181</v>
      </c>
      <c r="C195" s="195">
        <v>242</v>
      </c>
      <c r="D195" s="25" t="s">
        <v>400</v>
      </c>
      <c r="E195" s="25" t="s">
        <v>400</v>
      </c>
      <c r="F195" s="46"/>
    </row>
    <row r="196" spans="1:6">
      <c r="A196" s="25" t="s">
        <v>122</v>
      </c>
      <c r="B196" s="13" t="s">
        <v>182</v>
      </c>
      <c r="C196" s="195">
        <v>5</v>
      </c>
      <c r="D196" s="25" t="s">
        <v>400</v>
      </c>
      <c r="E196" s="25" t="s">
        <v>400</v>
      </c>
      <c r="F196" s="46"/>
    </row>
    <row r="197" spans="1:6">
      <c r="A197" s="27" t="s">
        <v>123</v>
      </c>
      <c r="B197" s="13" t="s">
        <v>180</v>
      </c>
      <c r="C197" s="195">
        <v>22</v>
      </c>
      <c r="D197" s="25" t="s">
        <v>400</v>
      </c>
      <c r="E197" s="25" t="s">
        <v>400</v>
      </c>
      <c r="F197" s="46"/>
    </row>
    <row r="198" spans="1:6">
      <c r="A198" s="30">
        <v>45</v>
      </c>
      <c r="B198" s="6" t="s">
        <v>324</v>
      </c>
      <c r="C198" s="54">
        <f>SUM(C199:C201)</f>
        <v>7788</v>
      </c>
      <c r="D198" s="52">
        <f>SUM(D199:D201)</f>
        <v>0</v>
      </c>
      <c r="E198" s="52">
        <f>SUM(E199:E201)</f>
        <v>0</v>
      </c>
      <c r="F198" s="145"/>
    </row>
    <row r="199" spans="1:6">
      <c r="A199" s="25" t="s">
        <v>325</v>
      </c>
      <c r="B199" s="13" t="s">
        <v>80</v>
      </c>
      <c r="C199" s="195">
        <v>7329</v>
      </c>
      <c r="D199" s="25" t="s">
        <v>400</v>
      </c>
      <c r="E199" s="25" t="s">
        <v>400</v>
      </c>
      <c r="F199" s="46"/>
    </row>
    <row r="200" spans="1:6">
      <c r="A200" s="25" t="s">
        <v>326</v>
      </c>
      <c r="B200" s="13" t="s">
        <v>60</v>
      </c>
      <c r="C200" s="195">
        <v>129</v>
      </c>
      <c r="D200" s="25" t="s">
        <v>400</v>
      </c>
      <c r="E200" s="25" t="s">
        <v>400</v>
      </c>
      <c r="F200" s="46"/>
    </row>
    <row r="201" spans="1:6">
      <c r="A201" s="27" t="s">
        <v>327</v>
      </c>
      <c r="B201" s="13" t="s">
        <v>180</v>
      </c>
      <c r="C201" s="195">
        <v>330</v>
      </c>
      <c r="D201" s="25" t="s">
        <v>400</v>
      </c>
      <c r="E201" s="25" t="s">
        <v>400</v>
      </c>
      <c r="F201" s="46"/>
    </row>
    <row r="202" spans="1:6">
      <c r="A202" s="44"/>
      <c r="B202" s="45"/>
      <c r="C202" s="46"/>
      <c r="D202" s="146"/>
      <c r="E202" s="147"/>
      <c r="F202" s="46"/>
    </row>
    <row r="203" spans="1:6">
      <c r="A203" s="30">
        <v>46</v>
      </c>
      <c r="B203" s="10" t="s">
        <v>203</v>
      </c>
      <c r="C203" s="195">
        <v>0</v>
      </c>
      <c r="D203" s="25" t="s">
        <v>400</v>
      </c>
      <c r="E203" s="25" t="s">
        <v>400</v>
      </c>
      <c r="F203" s="46"/>
    </row>
    <row r="204" spans="1:6">
      <c r="A204" s="30">
        <v>47</v>
      </c>
      <c r="B204" s="49" t="s">
        <v>204</v>
      </c>
      <c r="C204" s="195">
        <v>0</v>
      </c>
      <c r="D204" s="25" t="s">
        <v>400</v>
      </c>
      <c r="E204" s="25" t="s">
        <v>400</v>
      </c>
      <c r="F204" s="46"/>
    </row>
    <row r="205" spans="1:6">
      <c r="A205" s="30">
        <v>48</v>
      </c>
      <c r="B205" s="10" t="s">
        <v>179</v>
      </c>
      <c r="C205" s="195">
        <v>97</v>
      </c>
      <c r="D205" s="25" t="s">
        <v>400</v>
      </c>
      <c r="E205" s="25" t="s">
        <v>400</v>
      </c>
      <c r="F205" s="46"/>
    </row>
    <row r="206" spans="1:6">
      <c r="A206" s="30">
        <v>49</v>
      </c>
      <c r="B206" s="10" t="s">
        <v>61</v>
      </c>
      <c r="C206" s="195">
        <v>3294</v>
      </c>
      <c r="D206" s="25" t="s">
        <v>400</v>
      </c>
      <c r="E206" s="25" t="s">
        <v>400</v>
      </c>
      <c r="F206" s="46"/>
    </row>
    <row r="207" spans="1:6">
      <c r="A207" s="148">
        <v>50</v>
      </c>
      <c r="B207" s="48" t="s">
        <v>202</v>
      </c>
      <c r="C207" s="397" t="s">
        <v>400</v>
      </c>
      <c r="D207" s="149" t="s">
        <v>400</v>
      </c>
      <c r="E207" s="150" t="s">
        <v>400</v>
      </c>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f>SUM(C212:C227)</f>
        <v>0</v>
      </c>
      <c r="D211" s="52">
        <f t="shared" ref="D211:E211" si="1">SUM(D212:D227)</f>
        <v>0</v>
      </c>
      <c r="E211" s="52">
        <f t="shared" si="1"/>
        <v>376</v>
      </c>
      <c r="F211" s="10"/>
    </row>
    <row r="212" spans="1:6" s="1" customFormat="1">
      <c r="A212" s="27" t="s">
        <v>329</v>
      </c>
      <c r="B212" s="13" t="s">
        <v>226</v>
      </c>
      <c r="C212" s="9">
        <v>0</v>
      </c>
      <c r="D212" s="9">
        <v>0</v>
      </c>
      <c r="E212" s="9">
        <v>344</v>
      </c>
      <c r="F212" s="10"/>
    </row>
    <row r="213" spans="1:6" s="1" customFormat="1">
      <c r="A213" s="27" t="s">
        <v>330</v>
      </c>
      <c r="B213" s="35" t="s">
        <v>128</v>
      </c>
      <c r="C213" s="9">
        <v>0</v>
      </c>
      <c r="D213" s="9">
        <v>0</v>
      </c>
      <c r="E213" s="9">
        <v>0</v>
      </c>
      <c r="F213" s="10"/>
    </row>
    <row r="214" spans="1:6" s="1" customFormat="1">
      <c r="A214" s="27" t="s">
        <v>331</v>
      </c>
      <c r="B214" s="13" t="s">
        <v>227</v>
      </c>
      <c r="C214" s="9">
        <v>0</v>
      </c>
      <c r="D214" s="9">
        <v>0</v>
      </c>
      <c r="E214" s="9">
        <v>0</v>
      </c>
      <c r="F214" s="10"/>
    </row>
    <row r="215" spans="1:6" s="1" customFormat="1">
      <c r="A215" s="27" t="s">
        <v>332</v>
      </c>
      <c r="B215" s="35" t="s">
        <v>130</v>
      </c>
      <c r="C215" s="9">
        <v>0</v>
      </c>
      <c r="D215" s="9">
        <v>0</v>
      </c>
      <c r="E215" s="9">
        <v>0</v>
      </c>
      <c r="F215" s="10"/>
    </row>
    <row r="216" spans="1:6" s="1" customFormat="1">
      <c r="A216" s="27" t="s">
        <v>333</v>
      </c>
      <c r="B216" s="13" t="s">
        <v>232</v>
      </c>
      <c r="C216" s="9">
        <v>0</v>
      </c>
      <c r="D216" s="9">
        <v>0</v>
      </c>
      <c r="E216" s="9">
        <v>3</v>
      </c>
      <c r="F216" s="10"/>
    </row>
    <row r="217" spans="1:6" s="1" customFormat="1">
      <c r="A217" s="27" t="s">
        <v>334</v>
      </c>
      <c r="B217" s="35" t="s">
        <v>131</v>
      </c>
      <c r="C217" s="9">
        <v>0</v>
      </c>
      <c r="D217" s="9">
        <v>0</v>
      </c>
      <c r="E217" s="9">
        <v>0</v>
      </c>
      <c r="F217" s="10"/>
    </row>
    <row r="218" spans="1:6" s="1" customFormat="1">
      <c r="A218" s="27" t="s">
        <v>335</v>
      </c>
      <c r="B218" s="13" t="s">
        <v>233</v>
      </c>
      <c r="C218" s="9">
        <v>0</v>
      </c>
      <c r="D218" s="9">
        <v>0</v>
      </c>
      <c r="E218" s="9">
        <v>19</v>
      </c>
      <c r="F218" s="10"/>
    </row>
    <row r="219" spans="1:6" s="1" customFormat="1">
      <c r="A219" s="27" t="s">
        <v>336</v>
      </c>
      <c r="B219" s="35" t="s">
        <v>132</v>
      </c>
      <c r="C219" s="9">
        <v>0</v>
      </c>
      <c r="D219" s="9">
        <v>0</v>
      </c>
      <c r="E219" s="9">
        <v>0</v>
      </c>
      <c r="F219" s="10"/>
    </row>
    <row r="220" spans="1:6" s="1" customFormat="1">
      <c r="A220" s="27" t="s">
        <v>337</v>
      </c>
      <c r="B220" s="13" t="s">
        <v>234</v>
      </c>
      <c r="C220" s="9">
        <v>0</v>
      </c>
      <c r="D220" s="9">
        <v>0</v>
      </c>
      <c r="E220" s="9">
        <v>10</v>
      </c>
      <c r="F220" s="10"/>
    </row>
    <row r="221" spans="1:6" s="1" customFormat="1">
      <c r="A221" s="27" t="s">
        <v>338</v>
      </c>
      <c r="B221" s="35" t="s">
        <v>133</v>
      </c>
      <c r="C221" s="9">
        <v>0</v>
      </c>
      <c r="D221" s="9">
        <v>0</v>
      </c>
      <c r="E221" s="9">
        <v>0</v>
      </c>
      <c r="F221" s="10"/>
    </row>
    <row r="222" spans="1:6" s="1" customFormat="1">
      <c r="A222" s="27" t="s">
        <v>339</v>
      </c>
      <c r="B222" s="13" t="s">
        <v>235</v>
      </c>
      <c r="C222" s="9">
        <v>0</v>
      </c>
      <c r="D222" s="9">
        <v>0</v>
      </c>
      <c r="E222" s="9">
        <v>0</v>
      </c>
      <c r="F222" s="10"/>
    </row>
    <row r="223" spans="1:6" s="1" customFormat="1">
      <c r="A223" s="27" t="s">
        <v>340</v>
      </c>
      <c r="B223" s="35" t="s">
        <v>134</v>
      </c>
      <c r="C223" s="9">
        <v>0</v>
      </c>
      <c r="D223" s="9">
        <v>0</v>
      </c>
      <c r="E223" s="9">
        <v>0</v>
      </c>
      <c r="F223" s="10"/>
    </row>
    <row r="224" spans="1:6" s="1" customFormat="1">
      <c r="A224" s="27" t="s">
        <v>341</v>
      </c>
      <c r="B224" s="13" t="s">
        <v>236</v>
      </c>
      <c r="C224" s="9">
        <v>0</v>
      </c>
      <c r="D224" s="9">
        <v>0</v>
      </c>
      <c r="E224" s="9">
        <v>0</v>
      </c>
      <c r="F224" s="10"/>
    </row>
    <row r="225" spans="1:8" s="1" customFormat="1">
      <c r="A225" s="27" t="s">
        <v>342</v>
      </c>
      <c r="B225" s="35" t="s">
        <v>135</v>
      </c>
      <c r="C225" s="9">
        <v>0</v>
      </c>
      <c r="D225" s="9">
        <v>0</v>
      </c>
      <c r="E225" s="9">
        <v>0</v>
      </c>
      <c r="F225" s="10"/>
    </row>
    <row r="226" spans="1:8" s="1" customFormat="1">
      <c r="A226" s="27" t="s">
        <v>343</v>
      </c>
      <c r="B226" s="13" t="s">
        <v>237</v>
      </c>
      <c r="C226" s="9">
        <v>0</v>
      </c>
      <c r="D226" s="9">
        <v>0</v>
      </c>
      <c r="E226" s="9">
        <v>0</v>
      </c>
      <c r="F226" s="10"/>
    </row>
    <row r="227" spans="1:8" s="1" customFormat="1" ht="25.5">
      <c r="A227" s="27" t="s">
        <v>344</v>
      </c>
      <c r="B227" s="152" t="s">
        <v>136</v>
      </c>
      <c r="C227" s="9">
        <v>0</v>
      </c>
      <c r="D227" s="9">
        <v>0</v>
      </c>
      <c r="E227" s="9">
        <v>0</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97" t="s">
        <v>400</v>
      </c>
      <c r="D230" s="47"/>
      <c r="E230" s="47"/>
      <c r="F230" s="47"/>
    </row>
    <row r="231" spans="1:8">
      <c r="A231" s="27" t="s">
        <v>347</v>
      </c>
      <c r="B231" s="152" t="s">
        <v>115</v>
      </c>
      <c r="C231" s="156" t="s">
        <v>400</v>
      </c>
      <c r="D231" s="47"/>
      <c r="E231" s="47"/>
      <c r="F231" s="47"/>
    </row>
    <row r="232" spans="1:8" ht="25.5">
      <c r="A232" s="27" t="s">
        <v>348</v>
      </c>
      <c r="B232" s="155" t="s">
        <v>239</v>
      </c>
      <c r="C232" s="156">
        <v>180</v>
      </c>
      <c r="D232" s="47"/>
      <c r="E232" s="47"/>
      <c r="F232" s="47"/>
    </row>
    <row r="233" spans="1:8">
      <c r="A233" s="27" t="s">
        <v>349</v>
      </c>
      <c r="B233" s="152" t="s">
        <v>116</v>
      </c>
      <c r="C233" s="156" t="s">
        <v>400</v>
      </c>
      <c r="D233" s="47"/>
      <c r="E233" s="47"/>
      <c r="F233" s="47"/>
    </row>
    <row r="234" spans="1:8" ht="25.5">
      <c r="A234" s="27" t="s">
        <v>350</v>
      </c>
      <c r="B234" s="155" t="s">
        <v>240</v>
      </c>
      <c r="C234" s="156">
        <v>570</v>
      </c>
      <c r="D234" s="47"/>
      <c r="E234" s="47"/>
      <c r="F234" s="47"/>
    </row>
    <row r="235" spans="1:8">
      <c r="A235" s="27" t="s">
        <v>351</v>
      </c>
      <c r="B235" s="152" t="s">
        <v>117</v>
      </c>
      <c r="C235" s="157" t="s">
        <v>400</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85.5</v>
      </c>
      <c r="D239" s="25"/>
      <c r="E239" s="40"/>
      <c r="F239" s="40"/>
      <c r="G239" s="10"/>
      <c r="H239" s="3"/>
    </row>
    <row r="240" spans="1:8">
      <c r="A240" s="30">
        <v>53</v>
      </c>
      <c r="B240" s="10" t="s">
        <v>63</v>
      </c>
      <c r="C240" s="34">
        <v>32717</v>
      </c>
      <c r="D240" s="25"/>
      <c r="E240" s="40"/>
      <c r="F240" s="40"/>
      <c r="G240" s="10"/>
      <c r="H240" s="3"/>
    </row>
    <row r="241" spans="1:10">
      <c r="A241" s="30">
        <v>54</v>
      </c>
      <c r="B241" s="10" t="s">
        <v>215</v>
      </c>
      <c r="C241" s="25">
        <v>52</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1">
        <f>SUM(C246:C251)</f>
        <v>6082</v>
      </c>
      <c r="D245" s="51">
        <f>SUM(D246:D251)</f>
        <v>1336</v>
      </c>
      <c r="E245" s="398">
        <f>SUM(E246:E251)</f>
        <v>158</v>
      </c>
      <c r="F245" s="398">
        <f>SUM(F246:F251)</f>
        <v>101</v>
      </c>
      <c r="G245" s="51">
        <f>SUM(C245:F245)</f>
        <v>7677</v>
      </c>
      <c r="H245" s="145"/>
    </row>
    <row r="246" spans="1:10">
      <c r="A246" s="25" t="s">
        <v>353</v>
      </c>
      <c r="B246" s="13" t="s">
        <v>64</v>
      </c>
      <c r="C246" s="34">
        <v>133</v>
      </c>
      <c r="D246" s="34">
        <v>105</v>
      </c>
      <c r="E246" s="195">
        <v>104</v>
      </c>
      <c r="F246" s="195">
        <v>92</v>
      </c>
      <c r="G246" s="51">
        <f t="shared" ref="G246:G251" si="2">SUM(C246:F246)</f>
        <v>434</v>
      </c>
      <c r="H246" s="3"/>
      <c r="J246" s="25"/>
    </row>
    <row r="247" spans="1:10">
      <c r="A247" s="27" t="s">
        <v>354</v>
      </c>
      <c r="B247" s="13" t="s">
        <v>65</v>
      </c>
      <c r="C247" s="34">
        <v>0</v>
      </c>
      <c r="D247" s="34">
        <v>0</v>
      </c>
      <c r="E247" s="195">
        <v>0</v>
      </c>
      <c r="F247" s="195">
        <v>0</v>
      </c>
      <c r="G247" s="51">
        <f t="shared" si="2"/>
        <v>0</v>
      </c>
      <c r="H247" s="3"/>
    </row>
    <row r="248" spans="1:10">
      <c r="A248" s="27" t="s">
        <v>355</v>
      </c>
      <c r="B248" s="13" t="s">
        <v>66</v>
      </c>
      <c r="C248" s="34">
        <v>6</v>
      </c>
      <c r="D248" s="34">
        <v>8</v>
      </c>
      <c r="E248" s="195">
        <v>11</v>
      </c>
      <c r="F248" s="195">
        <v>6</v>
      </c>
      <c r="G248" s="51">
        <f t="shared" si="2"/>
        <v>31</v>
      </c>
      <c r="H248" s="3"/>
    </row>
    <row r="249" spans="1:10">
      <c r="A249" s="27" t="s">
        <v>356</v>
      </c>
      <c r="B249" s="13" t="s">
        <v>67</v>
      </c>
      <c r="C249" s="34">
        <v>15</v>
      </c>
      <c r="D249" s="34">
        <v>12</v>
      </c>
      <c r="E249" s="195">
        <v>9</v>
      </c>
      <c r="F249" s="195">
        <v>1</v>
      </c>
      <c r="G249" s="51">
        <f t="shared" si="2"/>
        <v>37</v>
      </c>
      <c r="H249" s="3"/>
    </row>
    <row r="250" spans="1:10">
      <c r="A250" s="25" t="s">
        <v>357</v>
      </c>
      <c r="B250" s="13" t="s">
        <v>68</v>
      </c>
      <c r="C250" s="34">
        <v>1</v>
      </c>
      <c r="D250" s="34">
        <v>1</v>
      </c>
      <c r="E250" s="195">
        <v>1</v>
      </c>
      <c r="F250" s="195">
        <v>1</v>
      </c>
      <c r="G250" s="51">
        <f t="shared" si="2"/>
        <v>4</v>
      </c>
      <c r="H250" s="3"/>
    </row>
    <row r="251" spans="1:10" ht="24.75">
      <c r="A251" s="27" t="s">
        <v>358</v>
      </c>
      <c r="B251" s="155" t="s">
        <v>183</v>
      </c>
      <c r="C251" s="34">
        <v>5927</v>
      </c>
      <c r="D251" s="34">
        <v>1210</v>
      </c>
      <c r="E251" s="195">
        <v>33</v>
      </c>
      <c r="F251" s="195">
        <v>1</v>
      </c>
      <c r="G251" s="51">
        <f t="shared" si="2"/>
        <v>7171</v>
      </c>
      <c r="H251" s="3"/>
    </row>
    <row r="252" spans="1:10" ht="15">
      <c r="B252" s="161"/>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legacyDrawing r:id="rId2"/>
</worksheet>
</file>

<file path=xl/worksheets/sheet16.xml><?xml version="1.0" encoding="utf-8"?>
<worksheet xmlns="http://schemas.openxmlformats.org/spreadsheetml/2006/main" xmlns:r="http://schemas.openxmlformats.org/officeDocument/2006/relationships">
  <dimension ref="A1:J252"/>
  <sheetViews>
    <sheetView topLeftCell="A26" workbookViewId="0">
      <selection activeCell="A92" sqref="A92"/>
    </sheetView>
  </sheetViews>
  <sheetFormatPr defaultRowHeight="12.75"/>
  <cols>
    <col min="1" max="1" width="11.28515625" customWidth="1"/>
    <col min="2" max="2" width="60.28515625" customWidth="1"/>
    <col min="3" max="3" width="11.28515625" customWidth="1"/>
    <col min="4" max="4" width="10.7109375" customWidth="1"/>
    <col min="5" max="5" width="7.7109375" customWidth="1"/>
    <col min="6" max="6" width="6.28515625" customWidth="1"/>
    <col min="7" max="7" width="12.140625" customWidth="1"/>
    <col min="8" max="8" width="9.140625" customWidth="1"/>
  </cols>
  <sheetData>
    <row r="1" spans="1:8" ht="18">
      <c r="A1" s="65"/>
      <c r="B1" s="66" t="s">
        <v>241</v>
      </c>
      <c r="C1" s="66"/>
      <c r="D1" s="162" t="s">
        <v>393</v>
      </c>
      <c r="E1" s="67"/>
      <c r="F1" s="67"/>
      <c r="G1" s="66"/>
      <c r="H1" s="172"/>
    </row>
    <row r="2" spans="1:8">
      <c r="A2" s="69"/>
      <c r="B2" s="172"/>
      <c r="C2" s="69"/>
      <c r="D2" s="69"/>
      <c r="E2" s="69"/>
      <c r="F2" s="69"/>
      <c r="G2" s="172"/>
      <c r="H2" s="172"/>
    </row>
    <row r="3" spans="1:8" ht="15.75">
      <c r="A3" s="70" t="s">
        <v>161</v>
      </c>
      <c r="B3" s="194" t="s">
        <v>640</v>
      </c>
      <c r="C3" s="72"/>
      <c r="D3" s="73" t="s">
        <v>185</v>
      </c>
      <c r="E3" s="72"/>
      <c r="F3" s="72"/>
      <c r="G3" s="172"/>
      <c r="H3" s="172"/>
    </row>
    <row r="4" spans="1:8">
      <c r="A4" s="69"/>
      <c r="B4" s="172"/>
      <c r="C4" s="69"/>
      <c r="D4" s="69"/>
      <c r="E4" s="69"/>
      <c r="F4" s="69"/>
      <c r="G4" s="172"/>
      <c r="H4" s="172"/>
    </row>
    <row r="5" spans="1:8" ht="12.75" customHeight="1">
      <c r="A5" s="1231" t="s">
        <v>189</v>
      </c>
      <c r="B5" s="71" t="s">
        <v>641</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71" t="s">
        <v>642</v>
      </c>
      <c r="C7" s="72"/>
      <c r="D7" s="72"/>
      <c r="E7" s="72"/>
      <c r="F7" s="72"/>
      <c r="G7" s="172"/>
      <c r="H7" s="172"/>
    </row>
    <row r="8" spans="1:8">
      <c r="A8" s="1231"/>
      <c r="B8" s="172"/>
      <c r="C8" s="72"/>
      <c r="D8" s="75" t="s">
        <v>188</v>
      </c>
      <c r="E8" s="69"/>
      <c r="F8" s="69"/>
      <c r="G8" s="172"/>
      <c r="H8" s="172"/>
    </row>
    <row r="9" spans="1:8">
      <c r="A9" s="76" t="s">
        <v>190</v>
      </c>
      <c r="B9" s="173" t="s">
        <v>643</v>
      </c>
      <c r="C9" s="72"/>
      <c r="D9" s="69"/>
      <c r="E9" s="69"/>
      <c r="F9" s="69"/>
      <c r="G9" s="172"/>
      <c r="H9" s="172"/>
    </row>
    <row r="10" spans="1:8">
      <c r="A10" s="67"/>
      <c r="B10" s="172"/>
      <c r="C10" s="69"/>
      <c r="D10" s="77" t="s">
        <v>242</v>
      </c>
      <c r="E10" s="69"/>
      <c r="F10" s="78"/>
      <c r="G10" s="172"/>
      <c r="H10" s="172"/>
    </row>
    <row r="11" spans="1:8">
      <c r="A11" s="79" t="s">
        <v>162</v>
      </c>
      <c r="B11" s="71" t="s">
        <v>644</v>
      </c>
      <c r="C11" s="72"/>
      <c r="D11" s="69"/>
      <c r="E11" s="69"/>
      <c r="F11" s="69"/>
      <c r="G11" s="172"/>
      <c r="H11" s="172"/>
    </row>
    <row r="12" spans="1:8">
      <c r="A12" s="69"/>
      <c r="B12" s="172"/>
      <c r="C12" s="69"/>
      <c r="D12" s="67"/>
      <c r="E12" s="69"/>
      <c r="F12" s="69"/>
      <c r="G12" s="172"/>
      <c r="H12" s="172"/>
    </row>
    <row r="13" spans="1:8">
      <c r="A13" s="1232" t="s">
        <v>163</v>
      </c>
      <c r="B13" s="71" t="s">
        <v>645</v>
      </c>
      <c r="C13" s="72"/>
      <c r="D13" s="72"/>
      <c r="E13" s="69"/>
      <c r="F13" s="69"/>
      <c r="G13" s="172"/>
      <c r="H13" s="172"/>
    </row>
    <row r="14" spans="1:8">
      <c r="A14" s="1232"/>
      <c r="B14" s="172"/>
      <c r="C14" s="172"/>
      <c r="D14" s="172"/>
      <c r="E14" s="172"/>
      <c r="F14" s="172"/>
      <c r="G14" s="172"/>
      <c r="H14" s="172"/>
    </row>
    <row r="16" spans="1:8" ht="13.5" customHeight="1">
      <c r="A16" s="1226" t="s">
        <v>359</v>
      </c>
      <c r="B16" s="1374"/>
      <c r="C16" s="1374"/>
      <c r="D16" s="1374"/>
      <c r="E16" s="1374"/>
      <c r="F16" s="1374"/>
      <c r="G16" s="1375"/>
      <c r="H16" s="80"/>
    </row>
    <row r="17" spans="1:8">
      <c r="A17" s="5" t="s">
        <v>86</v>
      </c>
      <c r="B17" s="5" t="s">
        <v>8</v>
      </c>
      <c r="C17" s="5" t="s">
        <v>0</v>
      </c>
      <c r="D17" s="1334" t="s">
        <v>149</v>
      </c>
      <c r="E17" s="1335"/>
      <c r="F17" s="81"/>
      <c r="G17" s="82"/>
      <c r="H17" s="83"/>
    </row>
    <row r="18" spans="1:8">
      <c r="A18" s="5">
        <v>1</v>
      </c>
      <c r="B18" s="7" t="s">
        <v>1</v>
      </c>
      <c r="C18" s="8">
        <v>0</v>
      </c>
      <c r="D18" s="1220"/>
      <c r="E18" s="1221"/>
      <c r="F18" s="84"/>
      <c r="G18" s="85"/>
      <c r="H18" s="72"/>
    </row>
    <row r="19" spans="1:8" ht="25.5">
      <c r="A19" s="11" t="s">
        <v>111</v>
      </c>
      <c r="B19" s="86" t="s">
        <v>228</v>
      </c>
      <c r="C19" s="8">
        <v>7</v>
      </c>
      <c r="D19" s="1220"/>
      <c r="E19" s="1221"/>
      <c r="F19" s="84"/>
      <c r="G19" s="85"/>
      <c r="H19" s="72"/>
    </row>
    <row r="20" spans="1:8" ht="25.5">
      <c r="A20" s="11" t="s">
        <v>112</v>
      </c>
      <c r="B20" s="86" t="s">
        <v>229</v>
      </c>
      <c r="C20" s="8">
        <v>79</v>
      </c>
      <c r="D20" s="1220"/>
      <c r="E20" s="1221"/>
      <c r="F20" s="84"/>
      <c r="G20" s="85"/>
      <c r="H20" s="72"/>
    </row>
    <row r="21" spans="1:8" ht="25.5">
      <c r="A21" s="11" t="s">
        <v>113</v>
      </c>
      <c r="B21" s="87" t="s">
        <v>230</v>
      </c>
      <c r="C21" s="8">
        <v>4</v>
      </c>
      <c r="D21" s="1220"/>
      <c r="E21" s="1221"/>
      <c r="F21" s="84"/>
      <c r="G21" s="85"/>
      <c r="H21" s="72"/>
    </row>
    <row r="22" spans="1:8" ht="25.5">
      <c r="A22" s="11" t="s">
        <v>114</v>
      </c>
      <c r="B22" s="87" t="s">
        <v>231</v>
      </c>
      <c r="C22" s="14">
        <v>14</v>
      </c>
      <c r="D22" s="1220"/>
      <c r="E22" s="1221"/>
      <c r="F22" s="84"/>
      <c r="G22" s="85"/>
      <c r="H22" s="72"/>
    </row>
    <row r="23" spans="1:8">
      <c r="A23" s="1222"/>
      <c r="B23" s="1372"/>
      <c r="C23" s="1372"/>
      <c r="D23" s="1372"/>
      <c r="E23" s="1372"/>
      <c r="F23" s="1372"/>
      <c r="G23" s="1373"/>
      <c r="H23" s="80"/>
    </row>
    <row r="24" spans="1:8" ht="13.5" customHeight="1">
      <c r="A24" s="1226" t="s">
        <v>360</v>
      </c>
      <c r="B24" s="1374"/>
      <c r="C24" s="1374"/>
      <c r="D24" s="1374"/>
      <c r="E24" s="1374"/>
      <c r="F24" s="1374"/>
      <c r="G24" s="1375"/>
      <c r="H24" s="80"/>
    </row>
    <row r="25" spans="1:8">
      <c r="A25" s="5" t="s">
        <v>86</v>
      </c>
      <c r="B25" s="5" t="s">
        <v>8</v>
      </c>
      <c r="C25" s="5" t="s">
        <v>2</v>
      </c>
      <c r="D25" s="1334" t="s">
        <v>149</v>
      </c>
      <c r="E25" s="1335"/>
      <c r="F25" s="81"/>
      <c r="G25" s="82"/>
      <c r="H25" s="83"/>
    </row>
    <row r="26" spans="1:8">
      <c r="A26" s="5">
        <v>2</v>
      </c>
      <c r="B26" s="7" t="s">
        <v>243</v>
      </c>
      <c r="C26" s="50">
        <f>SUM(C27:C30)</f>
        <v>26.51</v>
      </c>
      <c r="D26" s="1220"/>
      <c r="E26" s="1221"/>
      <c r="F26" s="84"/>
      <c r="G26" s="85"/>
      <c r="H26" s="72"/>
    </row>
    <row r="27" spans="1:8">
      <c r="A27" s="8" t="s">
        <v>3</v>
      </c>
      <c r="B27" s="12" t="s">
        <v>4</v>
      </c>
      <c r="C27" s="15">
        <v>24.51</v>
      </c>
      <c r="D27" s="1220"/>
      <c r="E27" s="1221"/>
      <c r="F27" s="84"/>
      <c r="G27" s="85"/>
      <c r="H27" s="72"/>
    </row>
    <row r="28" spans="1:8">
      <c r="A28" s="11" t="s">
        <v>5</v>
      </c>
      <c r="B28" s="12" t="s">
        <v>144</v>
      </c>
      <c r="C28" s="15">
        <v>2</v>
      </c>
      <c r="D28" s="1220"/>
      <c r="E28" s="1221"/>
      <c r="F28" s="84"/>
      <c r="G28" s="85"/>
      <c r="H28" s="72"/>
    </row>
    <row r="29" spans="1:8">
      <c r="A29" s="8" t="s">
        <v>145</v>
      </c>
      <c r="B29" s="12" t="s">
        <v>146</v>
      </c>
      <c r="C29" s="15">
        <v>0</v>
      </c>
      <c r="D29" s="1220"/>
      <c r="E29" s="1221"/>
      <c r="F29" s="174"/>
      <c r="G29" s="85"/>
      <c r="H29" s="72"/>
    </row>
    <row r="30" spans="1:8">
      <c r="A30" s="8" t="s">
        <v>244</v>
      </c>
      <c r="B30" s="12" t="s">
        <v>245</v>
      </c>
      <c r="C30" s="15">
        <v>0</v>
      </c>
      <c r="D30" s="88"/>
      <c r="E30" s="174"/>
      <c r="F30" s="174"/>
      <c r="G30" s="85"/>
      <c r="H30" s="72"/>
    </row>
    <row r="31" spans="1:8">
      <c r="A31" s="5">
        <v>3</v>
      </c>
      <c r="B31" s="7" t="s">
        <v>14</v>
      </c>
      <c r="C31" s="50">
        <f>SUM(C32:C34)</f>
        <v>41.5</v>
      </c>
      <c r="D31" s="1220"/>
      <c r="E31" s="1221"/>
      <c r="F31" s="84"/>
      <c r="G31" s="85"/>
      <c r="H31" s="72"/>
    </row>
    <row r="32" spans="1:8">
      <c r="A32" s="8" t="s">
        <v>6</v>
      </c>
      <c r="B32" s="12" t="s">
        <v>7</v>
      </c>
      <c r="C32" s="15">
        <v>33.5</v>
      </c>
      <c r="D32" s="1220"/>
      <c r="E32" s="1221"/>
      <c r="F32" s="84"/>
      <c r="G32" s="85"/>
      <c r="H32" s="72"/>
    </row>
    <row r="33" spans="1:8">
      <c r="A33" s="11" t="s">
        <v>12</v>
      </c>
      <c r="B33" s="12" t="s">
        <v>15</v>
      </c>
      <c r="C33" s="15">
        <v>5.5</v>
      </c>
      <c r="D33" s="1220"/>
      <c r="E33" s="1221"/>
      <c r="F33" s="84"/>
      <c r="G33" s="85"/>
      <c r="H33" s="72"/>
    </row>
    <row r="34" spans="1:8">
      <c r="A34" s="11" t="s">
        <v>13</v>
      </c>
      <c r="B34" s="12" t="s">
        <v>148</v>
      </c>
      <c r="C34" s="15">
        <v>2.5</v>
      </c>
      <c r="D34" s="1220"/>
      <c r="E34" s="1221"/>
      <c r="F34" s="84"/>
      <c r="G34" s="85"/>
      <c r="H34" s="72"/>
    </row>
    <row r="35" spans="1:8">
      <c r="A35" s="5">
        <v>4</v>
      </c>
      <c r="B35" s="16" t="s">
        <v>17</v>
      </c>
      <c r="C35" s="15">
        <v>0</v>
      </c>
      <c r="D35" s="1220"/>
      <c r="E35" s="1221"/>
      <c r="F35" s="84"/>
      <c r="G35" s="85"/>
      <c r="H35" s="72"/>
    </row>
    <row r="36" spans="1:8">
      <c r="A36" s="11" t="s">
        <v>16</v>
      </c>
      <c r="B36" s="12" t="s">
        <v>84</v>
      </c>
      <c r="C36" s="15">
        <v>1</v>
      </c>
      <c r="D36" s="1220"/>
      <c r="E36" s="1221"/>
      <c r="F36" s="84"/>
      <c r="G36" s="85"/>
      <c r="H36" s="72"/>
    </row>
    <row r="37" spans="1:8" ht="25.5">
      <c r="A37" s="5">
        <v>5</v>
      </c>
      <c r="B37" s="90" t="s">
        <v>26</v>
      </c>
      <c r="C37" s="15">
        <v>26.28</v>
      </c>
      <c r="D37" s="1220"/>
      <c r="E37" s="1221"/>
      <c r="F37" s="84"/>
      <c r="G37" s="85"/>
      <c r="H37" s="72"/>
    </row>
    <row r="38" spans="1:8">
      <c r="A38" s="17" t="s">
        <v>147</v>
      </c>
      <c r="B38" s="16" t="s">
        <v>150</v>
      </c>
      <c r="C38" s="15">
        <v>0.22</v>
      </c>
      <c r="D38" s="1334"/>
      <c r="E38" s="1335"/>
      <c r="F38" s="81"/>
      <c r="G38" s="85"/>
      <c r="H38" s="72"/>
    </row>
    <row r="39" spans="1:8">
      <c r="A39" s="5">
        <v>6</v>
      </c>
      <c r="B39" s="7" t="s">
        <v>85</v>
      </c>
      <c r="C39" s="50">
        <f>SUM(C26+C31+C35+C37)</f>
        <v>94.29</v>
      </c>
      <c r="D39" s="1220"/>
      <c r="E39" s="1221"/>
      <c r="F39" s="84"/>
      <c r="G39" s="85"/>
      <c r="H39" s="72"/>
    </row>
    <row r="40" spans="1:8">
      <c r="A40" s="1222"/>
      <c r="B40" s="1372"/>
      <c r="C40" s="1372"/>
      <c r="D40" s="1372"/>
      <c r="E40" s="1372"/>
      <c r="F40" s="1372"/>
      <c r="G40" s="1373"/>
      <c r="H40" s="80"/>
    </row>
    <row r="41" spans="1:8" ht="15.75" customHeight="1">
      <c r="A41" s="1226" t="s">
        <v>361</v>
      </c>
      <c r="B41" s="1374"/>
      <c r="C41" s="1374"/>
      <c r="D41" s="1374"/>
      <c r="E41" s="1374"/>
      <c r="F41" s="1374"/>
      <c r="G41" s="1375"/>
      <c r="H41" s="91"/>
    </row>
    <row r="42" spans="1:8">
      <c r="A42" s="5" t="s">
        <v>86</v>
      </c>
      <c r="B42" s="5" t="s">
        <v>8</v>
      </c>
      <c r="C42" s="5" t="s">
        <v>9</v>
      </c>
      <c r="D42" s="1334" t="s">
        <v>149</v>
      </c>
      <c r="E42" s="1335"/>
      <c r="F42" s="81"/>
      <c r="G42" s="82"/>
      <c r="H42" s="83"/>
    </row>
    <row r="43" spans="1:8">
      <c r="A43" s="5"/>
      <c r="B43" s="92" t="s">
        <v>10</v>
      </c>
      <c r="C43" s="1220"/>
      <c r="D43" s="1224"/>
      <c r="E43" s="1221"/>
      <c r="F43" s="84"/>
      <c r="G43" s="85"/>
      <c r="H43" s="72"/>
    </row>
    <row r="44" spans="1:8">
      <c r="A44" s="5">
        <v>7</v>
      </c>
      <c r="B44" s="7" t="s">
        <v>246</v>
      </c>
      <c r="C44" s="93">
        <f>SUM(C45:C47)</f>
        <v>2259071</v>
      </c>
      <c r="D44" s="1220"/>
      <c r="E44" s="1221"/>
      <c r="F44" s="84"/>
      <c r="G44" s="85"/>
      <c r="H44" s="72"/>
    </row>
    <row r="45" spans="1:8">
      <c r="A45" s="8" t="s">
        <v>11</v>
      </c>
      <c r="B45" s="12" t="s">
        <v>19</v>
      </c>
      <c r="C45" s="55">
        <v>2040604</v>
      </c>
      <c r="D45" s="1220"/>
      <c r="E45" s="1221"/>
      <c r="F45" s="84"/>
      <c r="G45" s="85"/>
      <c r="H45" s="72"/>
    </row>
    <row r="46" spans="1:8">
      <c r="A46" s="11" t="s">
        <v>18</v>
      </c>
      <c r="B46" s="12" t="s">
        <v>151</v>
      </c>
      <c r="C46" s="55">
        <v>218467</v>
      </c>
      <c r="D46" s="1220"/>
      <c r="E46" s="1221"/>
      <c r="F46" s="84"/>
      <c r="G46" s="85"/>
      <c r="H46" s="72"/>
    </row>
    <row r="47" spans="1:8">
      <c r="A47" s="8" t="s">
        <v>247</v>
      </c>
      <c r="B47" s="12" t="s">
        <v>248</v>
      </c>
      <c r="C47" s="59">
        <v>0</v>
      </c>
      <c r="D47" s="84"/>
      <c r="E47" s="84"/>
      <c r="F47" s="84"/>
      <c r="G47" s="85"/>
      <c r="H47" s="72"/>
    </row>
    <row r="48" spans="1:8">
      <c r="A48" s="5">
        <v>8</v>
      </c>
      <c r="B48" s="7" t="s">
        <v>109</v>
      </c>
      <c r="C48" s="93">
        <f>SUM(C49:C51)</f>
        <v>1769464</v>
      </c>
      <c r="D48" s="1220"/>
      <c r="E48" s="1221"/>
      <c r="F48" s="84"/>
      <c r="G48" s="85"/>
      <c r="H48" s="72"/>
    </row>
    <row r="49" spans="1:8">
      <c r="A49" s="19" t="s">
        <v>20</v>
      </c>
      <c r="B49" s="20" t="s">
        <v>23</v>
      </c>
      <c r="C49" s="55">
        <v>1370641</v>
      </c>
      <c r="D49" s="1220"/>
      <c r="E49" s="1221"/>
      <c r="F49" s="84"/>
      <c r="G49" s="85"/>
      <c r="H49" s="72"/>
    </row>
    <row r="50" spans="1:8">
      <c r="A50" s="11" t="s">
        <v>21</v>
      </c>
      <c r="B50" s="12" t="s">
        <v>24</v>
      </c>
      <c r="C50" s="55">
        <v>248041</v>
      </c>
      <c r="D50" s="1220"/>
      <c r="E50" s="1221"/>
      <c r="F50" s="84"/>
      <c r="G50" s="85"/>
      <c r="H50" s="72"/>
    </row>
    <row r="51" spans="1:8">
      <c r="A51" s="11" t="s">
        <v>22</v>
      </c>
      <c r="B51" s="12" t="s">
        <v>25</v>
      </c>
      <c r="C51" s="55">
        <v>150782</v>
      </c>
      <c r="D51" s="1220"/>
      <c r="E51" s="1221"/>
      <c r="F51" s="84"/>
      <c r="G51" s="85"/>
      <c r="H51" s="72"/>
    </row>
    <row r="52" spans="1:8" ht="25.5">
      <c r="A52" s="21">
        <v>9</v>
      </c>
      <c r="B52" s="22" t="s">
        <v>27</v>
      </c>
      <c r="C52" s="56">
        <v>506234</v>
      </c>
      <c r="D52" s="1220"/>
      <c r="E52" s="1221"/>
      <c r="F52" s="84"/>
      <c r="G52" s="85"/>
      <c r="H52" s="72"/>
    </row>
    <row r="53" spans="1:8">
      <c r="A53" s="21">
        <v>10</v>
      </c>
      <c r="B53" s="22" t="s">
        <v>249</v>
      </c>
      <c r="C53" s="56">
        <f>SUM(C44+C48+C52)</f>
        <v>4534769</v>
      </c>
      <c r="D53" s="88"/>
      <c r="E53" s="94"/>
      <c r="F53" s="94"/>
      <c r="G53" s="85"/>
      <c r="H53" s="72"/>
    </row>
    <row r="54" spans="1:8">
      <c r="A54" s="21"/>
      <c r="B54" s="22"/>
      <c r="C54" s="55"/>
      <c r="D54" s="1220"/>
      <c r="E54" s="1221"/>
      <c r="F54" s="94"/>
      <c r="G54" s="85"/>
      <c r="H54" s="72"/>
    </row>
    <row r="55" spans="1:8">
      <c r="A55" s="95"/>
      <c r="B55" s="92" t="s">
        <v>250</v>
      </c>
      <c r="C55" s="96"/>
      <c r="D55" s="1334"/>
      <c r="E55" s="1335"/>
      <c r="F55" s="84"/>
      <c r="G55" s="85"/>
      <c r="H55" s="72"/>
    </row>
    <row r="56" spans="1:8" ht="25.5">
      <c r="A56" s="97">
        <v>11</v>
      </c>
      <c r="B56" s="98" t="s">
        <v>251</v>
      </c>
      <c r="C56" s="99">
        <f>SUM(C57:C59)</f>
        <v>495922</v>
      </c>
      <c r="D56" s="1220"/>
      <c r="E56" s="1221"/>
      <c r="F56" s="84"/>
      <c r="G56" s="85"/>
      <c r="H56" s="72"/>
    </row>
    <row r="57" spans="1:8">
      <c r="A57" s="100" t="s">
        <v>30</v>
      </c>
      <c r="B57" s="101" t="s">
        <v>28</v>
      </c>
      <c r="C57" s="55">
        <v>473081</v>
      </c>
      <c r="D57" s="1220"/>
      <c r="E57" s="1221"/>
      <c r="F57" s="84"/>
      <c r="G57" s="85"/>
      <c r="H57" s="72"/>
    </row>
    <row r="58" spans="1:8">
      <c r="A58" s="100" t="s">
        <v>32</v>
      </c>
      <c r="B58" s="101" t="s">
        <v>363</v>
      </c>
      <c r="C58" s="55">
        <v>22841</v>
      </c>
      <c r="D58" s="1220"/>
      <c r="E58" s="1221"/>
      <c r="F58" s="84"/>
      <c r="G58" s="85"/>
      <c r="H58" s="72"/>
    </row>
    <row r="59" spans="1:8">
      <c r="A59" s="100" t="s">
        <v>34</v>
      </c>
      <c r="B59" s="101" t="s">
        <v>29</v>
      </c>
      <c r="C59" s="55">
        <v>0</v>
      </c>
      <c r="D59" s="1220"/>
      <c r="E59" s="1221"/>
      <c r="F59" s="84"/>
      <c r="G59" s="85"/>
      <c r="H59" s="72"/>
    </row>
    <row r="60" spans="1:8" ht="38.25">
      <c r="A60" s="97">
        <v>12</v>
      </c>
      <c r="B60" s="98" t="s">
        <v>252</v>
      </c>
      <c r="C60" s="57">
        <f>SUM(C61+C62+C64+C65+C66)</f>
        <v>1622459</v>
      </c>
      <c r="D60" s="1220"/>
      <c r="E60" s="1221"/>
      <c r="F60" s="84"/>
      <c r="G60" s="85"/>
      <c r="H60" s="72"/>
    </row>
    <row r="61" spans="1:8">
      <c r="A61" s="100" t="s">
        <v>36</v>
      </c>
      <c r="B61" s="101" t="s">
        <v>31</v>
      </c>
      <c r="C61" s="55">
        <v>350087</v>
      </c>
      <c r="D61" s="1220"/>
      <c r="E61" s="1221"/>
      <c r="F61" s="84"/>
      <c r="G61" s="85"/>
      <c r="H61" s="72"/>
    </row>
    <row r="62" spans="1:8">
      <c r="A62" s="100" t="s">
        <v>38</v>
      </c>
      <c r="B62" s="101" t="s">
        <v>206</v>
      </c>
      <c r="C62" s="55">
        <v>1156552</v>
      </c>
      <c r="D62" s="1220"/>
      <c r="E62" s="1221"/>
      <c r="F62" s="84"/>
      <c r="G62" s="85"/>
      <c r="H62" s="72"/>
    </row>
    <row r="63" spans="1:8">
      <c r="A63" s="100" t="s">
        <v>253</v>
      </c>
      <c r="B63" s="101" t="s">
        <v>33</v>
      </c>
      <c r="C63" s="55">
        <v>378231</v>
      </c>
      <c r="D63" s="1220"/>
      <c r="E63" s="1221"/>
      <c r="F63" s="84"/>
      <c r="G63" s="85"/>
      <c r="H63" s="72"/>
    </row>
    <row r="64" spans="1:8">
      <c r="A64" s="100" t="s">
        <v>39</v>
      </c>
      <c r="B64" s="101" t="s">
        <v>35</v>
      </c>
      <c r="C64" s="55">
        <v>67877</v>
      </c>
      <c r="D64" s="1220"/>
      <c r="E64" s="1221"/>
      <c r="F64" s="84"/>
      <c r="G64" s="85"/>
      <c r="H64" s="72"/>
    </row>
    <row r="65" spans="1:8">
      <c r="A65" s="102" t="s">
        <v>254</v>
      </c>
      <c r="B65" s="101" t="s">
        <v>153</v>
      </c>
      <c r="C65" s="55">
        <v>47943</v>
      </c>
      <c r="D65" s="1220"/>
      <c r="E65" s="1221"/>
      <c r="F65" s="84"/>
      <c r="G65" s="85"/>
      <c r="H65" s="72"/>
    </row>
    <row r="66" spans="1:8">
      <c r="A66" s="102" t="s">
        <v>255</v>
      </c>
      <c r="B66" s="103" t="s">
        <v>216</v>
      </c>
      <c r="C66" s="55">
        <v>0</v>
      </c>
      <c r="D66" s="1220"/>
      <c r="E66" s="1221"/>
      <c r="F66" s="84"/>
      <c r="G66" s="85"/>
      <c r="H66" s="72"/>
    </row>
    <row r="67" spans="1:8">
      <c r="A67" s="97">
        <v>13</v>
      </c>
      <c r="B67" s="104" t="s">
        <v>256</v>
      </c>
      <c r="C67" s="57">
        <f>SUM(C68:C69)</f>
        <v>36349</v>
      </c>
      <c r="D67" s="1220"/>
      <c r="E67" s="1221"/>
      <c r="F67" s="84"/>
      <c r="G67" s="85"/>
      <c r="H67" s="72"/>
    </row>
    <row r="68" spans="1:8">
      <c r="A68" s="100" t="s">
        <v>156</v>
      </c>
      <c r="B68" s="103" t="s">
        <v>40</v>
      </c>
      <c r="C68" s="55">
        <v>435</v>
      </c>
      <c r="D68" s="1220"/>
      <c r="E68" s="1221"/>
      <c r="F68" s="84"/>
      <c r="G68" s="85"/>
      <c r="H68" s="72"/>
    </row>
    <row r="69" spans="1:8">
      <c r="A69" s="100" t="s">
        <v>157</v>
      </c>
      <c r="B69" s="103" t="s">
        <v>41</v>
      </c>
      <c r="C69" s="55">
        <v>35914</v>
      </c>
      <c r="D69" s="1220"/>
      <c r="E69" s="1221"/>
      <c r="F69" s="84"/>
      <c r="G69" s="85"/>
      <c r="H69" s="72"/>
    </row>
    <row r="70" spans="1:8">
      <c r="A70" s="95">
        <v>14</v>
      </c>
      <c r="B70" s="82" t="s">
        <v>257</v>
      </c>
      <c r="C70" s="57">
        <f>SUM(C71:C75)</f>
        <v>3433</v>
      </c>
      <c r="D70" s="1220"/>
      <c r="E70" s="1221"/>
      <c r="F70" s="84"/>
      <c r="G70" s="85"/>
      <c r="H70" s="72"/>
    </row>
    <row r="71" spans="1:8">
      <c r="A71" s="105" t="s">
        <v>42</v>
      </c>
      <c r="B71" s="106" t="s">
        <v>155</v>
      </c>
      <c r="C71" s="55">
        <v>0</v>
      </c>
      <c r="D71" s="1334"/>
      <c r="E71" s="1335"/>
      <c r="F71" s="81"/>
      <c r="G71" s="85"/>
      <c r="H71" s="72"/>
    </row>
    <row r="72" spans="1:8">
      <c r="A72" s="105" t="s">
        <v>43</v>
      </c>
      <c r="B72" s="107" t="s">
        <v>258</v>
      </c>
      <c r="C72" s="55">
        <v>3263</v>
      </c>
      <c r="D72" s="81"/>
      <c r="E72" s="81"/>
      <c r="F72" s="81"/>
      <c r="G72" s="85"/>
      <c r="H72" s="72"/>
    </row>
    <row r="73" spans="1:8">
      <c r="A73" s="105" t="s">
        <v>45</v>
      </c>
      <c r="B73" s="108" t="s">
        <v>44</v>
      </c>
      <c r="C73" s="55">
        <v>0</v>
      </c>
      <c r="D73" s="1220"/>
      <c r="E73" s="1221"/>
      <c r="F73" s="84"/>
      <c r="G73" s="85"/>
      <c r="H73" s="72"/>
    </row>
    <row r="74" spans="1:8">
      <c r="A74" s="105" t="s">
        <v>154</v>
      </c>
      <c r="B74" s="108" t="s">
        <v>46</v>
      </c>
      <c r="C74" s="55">
        <v>0</v>
      </c>
      <c r="D74" s="1220"/>
      <c r="E74" s="1221"/>
      <c r="F74" s="84"/>
      <c r="G74" s="85"/>
      <c r="H74" s="72"/>
    </row>
    <row r="75" spans="1:8">
      <c r="A75" s="109" t="s">
        <v>259</v>
      </c>
      <c r="B75" s="108" t="s">
        <v>104</v>
      </c>
      <c r="C75" s="55">
        <v>170</v>
      </c>
      <c r="D75" s="1220" t="s">
        <v>646</v>
      </c>
      <c r="E75" s="1221"/>
      <c r="F75" s="84"/>
      <c r="G75" s="85"/>
      <c r="H75" s="72"/>
    </row>
    <row r="76" spans="1:8">
      <c r="A76" s="110">
        <v>15</v>
      </c>
      <c r="B76" s="82" t="s">
        <v>260</v>
      </c>
      <c r="C76" s="58">
        <f>SUM(C56,C60,C67,C70)</f>
        <v>2158163</v>
      </c>
      <c r="D76" s="84"/>
      <c r="E76" s="84"/>
      <c r="F76" s="84"/>
      <c r="G76" s="85"/>
      <c r="H76" s="72"/>
    </row>
    <row r="77" spans="1:8">
      <c r="A77" s="109"/>
      <c r="B77" s="82"/>
      <c r="C77" s="58"/>
      <c r="D77" s="84"/>
      <c r="E77" s="84"/>
      <c r="F77" s="84"/>
      <c r="G77" s="85"/>
      <c r="H77" s="72"/>
    </row>
    <row r="78" spans="1:8">
      <c r="A78" s="109"/>
      <c r="B78" s="111" t="s">
        <v>261</v>
      </c>
      <c r="C78" s="55"/>
      <c r="D78" s="1220"/>
      <c r="E78" s="1221"/>
      <c r="F78" s="84"/>
      <c r="G78" s="85"/>
      <c r="H78" s="72"/>
    </row>
    <row r="79" spans="1:8">
      <c r="A79" s="109"/>
      <c r="C79" s="55"/>
      <c r="D79" s="84"/>
      <c r="E79" s="84"/>
      <c r="F79" s="84"/>
      <c r="G79" s="85"/>
      <c r="H79" s="72"/>
    </row>
    <row r="80" spans="1:8">
      <c r="A80" s="95">
        <v>16</v>
      </c>
      <c r="B80" s="112" t="s">
        <v>262</v>
      </c>
      <c r="C80" s="59">
        <f>SUM(C81:C85)</f>
        <v>8618</v>
      </c>
      <c r="D80" s="84"/>
      <c r="E80" s="84"/>
      <c r="F80" s="84"/>
      <c r="G80" s="85"/>
      <c r="H80" s="72"/>
    </row>
    <row r="81" spans="1:8">
      <c r="A81" s="109" t="s">
        <v>263</v>
      </c>
      <c r="B81" s="85" t="s">
        <v>264</v>
      </c>
      <c r="C81" s="55"/>
      <c r="D81" s="84"/>
      <c r="E81" s="84"/>
      <c r="F81" s="84"/>
      <c r="G81" s="85"/>
      <c r="H81" s="72"/>
    </row>
    <row r="82" spans="1:8" ht="25.5">
      <c r="A82" s="109" t="s">
        <v>192</v>
      </c>
      <c r="B82" s="113" t="s">
        <v>207</v>
      </c>
      <c r="C82" s="55" t="s">
        <v>400</v>
      </c>
      <c r="D82" s="84"/>
      <c r="E82" s="84"/>
      <c r="F82" s="84"/>
      <c r="G82" s="85"/>
      <c r="H82" s="72"/>
    </row>
    <row r="83" spans="1:8">
      <c r="A83" s="109" t="s">
        <v>193</v>
      </c>
      <c r="B83" s="85" t="s">
        <v>158</v>
      </c>
      <c r="C83" s="55">
        <v>931</v>
      </c>
      <c r="D83" s="84"/>
      <c r="E83" s="84"/>
      <c r="F83" s="84"/>
      <c r="G83" s="85"/>
      <c r="H83" s="72"/>
    </row>
    <row r="84" spans="1:8">
      <c r="A84" s="109" t="s">
        <v>265</v>
      </c>
      <c r="B84" s="85" t="s">
        <v>159</v>
      </c>
      <c r="C84" s="55">
        <v>295</v>
      </c>
      <c r="D84" s="84"/>
      <c r="E84" s="84"/>
      <c r="F84" s="84"/>
      <c r="G84" s="85"/>
      <c r="H84" s="72"/>
    </row>
    <row r="85" spans="1:8">
      <c r="A85" s="109" t="s">
        <v>266</v>
      </c>
      <c r="B85" s="85" t="s">
        <v>160</v>
      </c>
      <c r="C85" s="55">
        <v>7392</v>
      </c>
      <c r="D85" s="84"/>
      <c r="E85" s="84"/>
      <c r="F85" s="84"/>
      <c r="G85" s="85"/>
      <c r="H85" s="72"/>
    </row>
    <row r="86" spans="1:8">
      <c r="A86" s="110">
        <v>17</v>
      </c>
      <c r="B86" s="111" t="s">
        <v>191</v>
      </c>
      <c r="C86" s="59"/>
      <c r="D86" s="1220"/>
      <c r="E86" s="1221"/>
      <c r="F86" s="84"/>
      <c r="G86" s="82"/>
      <c r="H86" s="83"/>
    </row>
    <row r="87" spans="1:8">
      <c r="A87" s="110">
        <v>18</v>
      </c>
      <c r="B87" s="82" t="s">
        <v>267</v>
      </c>
      <c r="C87" s="57">
        <f>SUM(C88:C90)</f>
        <v>38134</v>
      </c>
      <c r="D87" s="1220"/>
      <c r="E87" s="1221"/>
      <c r="F87" s="84"/>
      <c r="G87" s="85"/>
      <c r="H87" s="72"/>
    </row>
    <row r="88" spans="1:8">
      <c r="A88" s="105" t="s">
        <v>268</v>
      </c>
      <c r="B88" s="114" t="s">
        <v>47</v>
      </c>
      <c r="C88" s="55">
        <v>2578</v>
      </c>
      <c r="D88" s="1220"/>
      <c r="E88" s="1221"/>
      <c r="F88" s="84"/>
      <c r="G88" s="85"/>
      <c r="H88" s="72"/>
    </row>
    <row r="89" spans="1:8">
      <c r="A89" s="105" t="s">
        <v>269</v>
      </c>
      <c r="B89" s="114" t="s">
        <v>48</v>
      </c>
      <c r="C89" s="55">
        <v>31872</v>
      </c>
      <c r="D89" s="1220"/>
      <c r="E89" s="1221"/>
      <c r="F89" s="84"/>
      <c r="G89" s="85"/>
      <c r="H89" s="72"/>
    </row>
    <row r="90" spans="1:8">
      <c r="A90" s="105" t="s">
        <v>270</v>
      </c>
      <c r="B90" s="114" t="s">
        <v>105</v>
      </c>
      <c r="C90" s="96">
        <v>3684</v>
      </c>
      <c r="D90" s="1220"/>
      <c r="E90" s="1221"/>
      <c r="F90" s="84"/>
      <c r="G90" s="85"/>
      <c r="H90" s="72"/>
    </row>
    <row r="91" spans="1:8">
      <c r="A91" s="110">
        <v>19</v>
      </c>
      <c r="B91" s="85" t="s">
        <v>205</v>
      </c>
      <c r="C91" s="96">
        <v>58723</v>
      </c>
      <c r="D91" s="1220"/>
      <c r="E91" s="1221"/>
      <c r="F91" s="84"/>
      <c r="G91" s="85"/>
      <c r="H91" s="72"/>
    </row>
    <row r="92" spans="1:8" ht="38.25">
      <c r="A92" s="110">
        <v>20</v>
      </c>
      <c r="B92" s="113" t="s">
        <v>106</v>
      </c>
      <c r="C92" s="96">
        <v>144710</v>
      </c>
      <c r="D92" s="1220"/>
      <c r="E92" s="1221"/>
      <c r="F92" s="84"/>
      <c r="G92" s="85"/>
      <c r="H92" s="72"/>
    </row>
    <row r="93" spans="1:8">
      <c r="A93" s="110">
        <v>21</v>
      </c>
      <c r="B93" s="85" t="s">
        <v>103</v>
      </c>
      <c r="C93" s="96">
        <v>134220</v>
      </c>
      <c r="D93" s="1220"/>
      <c r="E93" s="1221"/>
      <c r="F93" s="84"/>
      <c r="G93" s="85"/>
      <c r="H93" s="72"/>
    </row>
    <row r="94" spans="1:8" ht="25.5">
      <c r="A94" s="110">
        <v>22</v>
      </c>
      <c r="B94" s="113" t="s">
        <v>107</v>
      </c>
      <c r="C94" s="115">
        <v>216119</v>
      </c>
      <c r="D94" s="1220" t="s">
        <v>647</v>
      </c>
      <c r="E94" s="1221"/>
      <c r="F94" s="116"/>
      <c r="G94" s="117"/>
      <c r="H94" s="80"/>
    </row>
    <row r="95" spans="1:8" ht="25.5">
      <c r="A95" s="110">
        <v>23</v>
      </c>
      <c r="B95" s="113" t="s">
        <v>271</v>
      </c>
      <c r="C95" s="118">
        <f>SUM(C53,C76,C80,C86,C87,C91,C92,C93,C94)</f>
        <v>7293456</v>
      </c>
      <c r="D95" s="1220" t="s">
        <v>648</v>
      </c>
      <c r="E95" s="1221"/>
      <c r="F95" s="84"/>
      <c r="G95" s="85"/>
      <c r="H95" s="72"/>
    </row>
    <row r="96" spans="1:8">
      <c r="A96" s="109" t="s">
        <v>108</v>
      </c>
      <c r="B96" s="114" t="s">
        <v>49</v>
      </c>
      <c r="C96" s="96">
        <v>0</v>
      </c>
      <c r="D96" s="1220"/>
      <c r="E96" s="1221"/>
      <c r="F96" s="84"/>
      <c r="G96" s="85"/>
      <c r="H96" s="72"/>
    </row>
    <row r="97" spans="1:8" ht="15">
      <c r="A97" s="110">
        <v>24</v>
      </c>
      <c r="B97" s="85" t="s">
        <v>272</v>
      </c>
      <c r="C97" s="119">
        <f>SUM(C95,C96)</f>
        <v>7293456</v>
      </c>
      <c r="D97" s="1220"/>
      <c r="E97" s="1221"/>
      <c r="F97" s="84"/>
      <c r="G97" s="85"/>
      <c r="H97" s="72"/>
    </row>
    <row r="99" spans="1:8" ht="15.75" customHeight="1">
      <c r="A99" s="1199" t="s">
        <v>362</v>
      </c>
      <c r="B99" s="1299"/>
      <c r="C99" s="1299"/>
      <c r="D99" s="1299"/>
      <c r="E99" s="1299"/>
      <c r="F99" s="1299"/>
      <c r="G99" s="1300"/>
      <c r="H99" s="120"/>
    </row>
    <row r="100" spans="1:8">
      <c r="A100" s="30" t="s">
        <v>86</v>
      </c>
      <c r="B100" s="30" t="s">
        <v>8</v>
      </c>
      <c r="C100" s="32" t="s">
        <v>50</v>
      </c>
      <c r="D100" s="32" t="s">
        <v>51</v>
      </c>
      <c r="E100" s="32" t="s">
        <v>52</v>
      </c>
      <c r="F100" s="32"/>
      <c r="G100" s="121" t="s">
        <v>149</v>
      </c>
      <c r="H100" s="122"/>
    </row>
    <row r="101" spans="1:8" ht="12.75" customHeight="1">
      <c r="A101" s="1206"/>
      <c r="B101" s="1301" t="s">
        <v>273</v>
      </c>
      <c r="C101" s="1303"/>
      <c r="D101" s="1304"/>
      <c r="E101" s="1305"/>
      <c r="F101" s="123"/>
      <c r="G101" s="1211"/>
      <c r="H101" s="124"/>
    </row>
    <row r="102" spans="1:8" ht="23.25" customHeight="1">
      <c r="A102" s="1207"/>
      <c r="B102" s="1302"/>
      <c r="C102" s="1306"/>
      <c r="D102" s="1307"/>
      <c r="E102" s="1308"/>
      <c r="F102" s="125"/>
      <c r="G102" s="1212"/>
      <c r="H102" s="124"/>
    </row>
    <row r="103" spans="1:8">
      <c r="A103" s="30">
        <v>25</v>
      </c>
      <c r="B103" s="6" t="s">
        <v>274</v>
      </c>
      <c r="C103" s="51">
        <f>SUM(C104,C107:C110)</f>
        <v>19399</v>
      </c>
      <c r="D103" s="51">
        <f>SUM(D104,D107:D110)</f>
        <v>6795</v>
      </c>
      <c r="E103" s="34">
        <v>1418966</v>
      </c>
      <c r="F103" s="34"/>
      <c r="G103" s="10">
        <v>1418966</v>
      </c>
      <c r="H103" s="3" t="s">
        <v>649</v>
      </c>
    </row>
    <row r="104" spans="1:8">
      <c r="A104" s="25" t="s">
        <v>91</v>
      </c>
      <c r="B104" s="13" t="s">
        <v>53</v>
      </c>
      <c r="C104" s="51">
        <f>SUM(C105:C106)</f>
        <v>15214</v>
      </c>
      <c r="D104" s="51">
        <f>SUM(D105:D106)</f>
        <v>6222</v>
      </c>
      <c r="E104" s="34"/>
      <c r="F104" s="34"/>
      <c r="G104" s="10"/>
      <c r="H104" s="3"/>
    </row>
    <row r="105" spans="1:8">
      <c r="A105" s="25" t="s">
        <v>194</v>
      </c>
      <c r="B105" s="35" t="s">
        <v>54</v>
      </c>
      <c r="C105" s="34">
        <v>10442</v>
      </c>
      <c r="D105" s="25">
        <v>5839</v>
      </c>
      <c r="E105" s="34" t="s">
        <v>400</v>
      </c>
      <c r="F105" s="34"/>
      <c r="G105" s="10"/>
      <c r="H105" s="3"/>
    </row>
    <row r="106" spans="1:8">
      <c r="A106" s="25" t="s">
        <v>195</v>
      </c>
      <c r="B106" s="35" t="s">
        <v>55</v>
      </c>
      <c r="C106" s="34">
        <v>4772</v>
      </c>
      <c r="D106" s="25">
        <v>383</v>
      </c>
      <c r="E106" s="34" t="s">
        <v>400</v>
      </c>
      <c r="F106" s="34"/>
      <c r="G106" s="10"/>
      <c r="H106" s="3"/>
    </row>
    <row r="107" spans="1:8">
      <c r="A107" s="25" t="s">
        <v>93</v>
      </c>
      <c r="B107" s="13" t="s">
        <v>56</v>
      </c>
      <c r="C107" s="34">
        <v>2995</v>
      </c>
      <c r="D107" s="34">
        <v>2</v>
      </c>
      <c r="E107" s="34">
        <v>35831</v>
      </c>
      <c r="F107" s="34"/>
      <c r="G107" s="10"/>
      <c r="H107" s="3"/>
    </row>
    <row r="108" spans="1:8">
      <c r="A108" s="25" t="s">
        <v>275</v>
      </c>
      <c r="B108" s="13" t="s">
        <v>57</v>
      </c>
      <c r="C108" s="34">
        <v>458</v>
      </c>
      <c r="D108" s="34">
        <v>85</v>
      </c>
      <c r="E108" s="34">
        <v>28280</v>
      </c>
      <c r="F108" s="34"/>
      <c r="G108" s="10"/>
      <c r="H108" s="3"/>
    </row>
    <row r="109" spans="1:8">
      <c r="A109" s="25" t="s">
        <v>276</v>
      </c>
      <c r="B109" s="13" t="s">
        <v>58</v>
      </c>
      <c r="C109" s="34">
        <v>70</v>
      </c>
      <c r="D109" s="34">
        <v>180</v>
      </c>
      <c r="E109" s="34">
        <v>29790</v>
      </c>
      <c r="F109" s="34"/>
      <c r="G109" s="10"/>
      <c r="H109" s="3"/>
    </row>
    <row r="110" spans="1:8">
      <c r="A110" s="27" t="s">
        <v>277</v>
      </c>
      <c r="B110" s="13" t="s">
        <v>139</v>
      </c>
      <c r="C110" s="52">
        <v>662</v>
      </c>
      <c r="D110" s="51">
        <v>306</v>
      </c>
      <c r="E110" s="34">
        <v>55134</v>
      </c>
      <c r="F110" s="34"/>
      <c r="G110" s="10"/>
      <c r="H110" s="3"/>
    </row>
    <row r="111" spans="1:8">
      <c r="A111" s="30">
        <v>26</v>
      </c>
      <c r="B111" s="18" t="s">
        <v>278</v>
      </c>
      <c r="C111" s="34">
        <f>SUM(C112,C113)</f>
        <v>7686</v>
      </c>
      <c r="D111" s="34"/>
      <c r="E111" s="34"/>
      <c r="F111" s="34"/>
      <c r="G111" s="10"/>
      <c r="H111" s="3"/>
    </row>
    <row r="112" spans="1:8">
      <c r="A112" s="25" t="s">
        <v>92</v>
      </c>
      <c r="B112" s="13" t="s">
        <v>59</v>
      </c>
      <c r="C112" s="34">
        <v>2924</v>
      </c>
      <c r="D112" s="34">
        <v>0</v>
      </c>
      <c r="E112" s="34">
        <v>5907</v>
      </c>
      <c r="F112" s="34"/>
      <c r="G112" s="10"/>
      <c r="H112" s="3"/>
    </row>
    <row r="113" spans="1:8">
      <c r="A113" s="27" t="s">
        <v>94</v>
      </c>
      <c r="B113" s="13" t="s">
        <v>164</v>
      </c>
      <c r="C113" s="34">
        <v>4762</v>
      </c>
      <c r="D113" s="34">
        <v>0</v>
      </c>
      <c r="E113" s="34">
        <v>27848</v>
      </c>
      <c r="F113" s="34"/>
      <c r="G113" s="10"/>
      <c r="H113" s="3"/>
    </row>
    <row r="114" spans="1:8">
      <c r="A114" s="25"/>
      <c r="B114" s="13"/>
      <c r="C114" s="34"/>
      <c r="D114" s="34"/>
      <c r="E114" s="34"/>
      <c r="F114" s="34"/>
      <c r="G114" s="10"/>
      <c r="H114" s="3"/>
    </row>
    <row r="115" spans="1:8" ht="38.25">
      <c r="A115" s="36">
        <v>27</v>
      </c>
      <c r="B115" s="33" t="s">
        <v>279</v>
      </c>
      <c r="C115" s="51">
        <f>SUM(C116+C119)</f>
        <v>0</v>
      </c>
      <c r="D115" s="51">
        <f>SUM(D116+D119)</f>
        <v>0</v>
      </c>
      <c r="E115" s="51"/>
      <c r="F115" s="34"/>
      <c r="G115" s="10"/>
      <c r="H115" s="3"/>
    </row>
    <row r="116" spans="1:8" ht="25.5">
      <c r="A116" s="30" t="s">
        <v>196</v>
      </c>
      <c r="B116" s="126" t="s">
        <v>280</v>
      </c>
      <c r="C116" s="52">
        <f>SUM(C117,C118)</f>
        <v>0</v>
      </c>
      <c r="D116" s="52">
        <f>SUM(D117:D118)</f>
        <v>0</v>
      </c>
      <c r="E116" s="52"/>
      <c r="F116" s="25"/>
      <c r="G116" s="10"/>
      <c r="H116" s="3"/>
    </row>
    <row r="117" spans="1:8">
      <c r="A117" s="25" t="s">
        <v>281</v>
      </c>
      <c r="B117" s="35" t="s">
        <v>124</v>
      </c>
      <c r="C117" s="25" t="s">
        <v>400</v>
      </c>
      <c r="D117" s="25" t="s">
        <v>400</v>
      </c>
      <c r="E117" s="25">
        <v>1053</v>
      </c>
      <c r="F117" s="25"/>
      <c r="G117" s="10"/>
      <c r="H117" s="3"/>
    </row>
    <row r="118" spans="1:8">
      <c r="A118" s="25" t="s">
        <v>282</v>
      </c>
      <c r="B118" s="35" t="s">
        <v>125</v>
      </c>
      <c r="C118" s="25" t="s">
        <v>400</v>
      </c>
      <c r="D118" s="25" t="s">
        <v>400</v>
      </c>
      <c r="E118" s="25">
        <v>37042</v>
      </c>
      <c r="F118" s="25"/>
      <c r="G118" s="10" t="s">
        <v>650</v>
      </c>
      <c r="H118" s="3"/>
    </row>
    <row r="119" spans="1:8" ht="25.5">
      <c r="A119" s="30" t="s">
        <v>283</v>
      </c>
      <c r="B119" s="126" t="s">
        <v>284</v>
      </c>
      <c r="C119" s="52">
        <f>SUM(C120:C122)</f>
        <v>0</v>
      </c>
      <c r="D119" s="52">
        <f>SUM(D120:D122)</f>
        <v>0</v>
      </c>
      <c r="E119" s="52"/>
      <c r="F119" s="25"/>
      <c r="G119" s="10"/>
      <c r="H119" s="3"/>
    </row>
    <row r="120" spans="1:8">
      <c r="A120" s="25" t="s">
        <v>285</v>
      </c>
      <c r="B120" s="35" t="s">
        <v>126</v>
      </c>
      <c r="C120" s="25" t="s">
        <v>400</v>
      </c>
      <c r="D120" s="25" t="s">
        <v>400</v>
      </c>
      <c r="E120" s="25">
        <v>194</v>
      </c>
      <c r="F120" s="25"/>
      <c r="G120" s="10"/>
      <c r="H120" s="3"/>
    </row>
    <row r="121" spans="1:8">
      <c r="A121" s="27" t="s">
        <v>286</v>
      </c>
      <c r="B121" s="35" t="s">
        <v>287</v>
      </c>
      <c r="C121" s="25" t="s">
        <v>400</v>
      </c>
      <c r="D121" s="25" t="s">
        <v>400</v>
      </c>
      <c r="E121" s="25">
        <v>23752</v>
      </c>
      <c r="F121" s="25"/>
      <c r="G121" s="10" t="s">
        <v>651</v>
      </c>
      <c r="H121" s="3"/>
    </row>
    <row r="122" spans="1:8">
      <c r="A122" s="25" t="s">
        <v>288</v>
      </c>
      <c r="B122" s="35" t="s">
        <v>218</v>
      </c>
      <c r="C122" s="25" t="s">
        <v>400</v>
      </c>
      <c r="D122" s="25" t="s">
        <v>400</v>
      </c>
      <c r="E122" s="25" t="s">
        <v>400</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945</v>
      </c>
      <c r="D125" s="52">
        <f>SUM(D126:D127)</f>
        <v>0</v>
      </c>
      <c r="E125" s="52">
        <v>29661</v>
      </c>
      <c r="F125" s="25"/>
      <c r="G125" s="10"/>
      <c r="H125" s="3"/>
    </row>
    <row r="126" spans="1:8">
      <c r="A126" s="25" t="s">
        <v>127</v>
      </c>
      <c r="B126" s="24" t="s">
        <v>40</v>
      </c>
      <c r="C126" s="25">
        <v>258</v>
      </c>
      <c r="D126" s="25">
        <v>0</v>
      </c>
      <c r="E126" s="25">
        <v>12264</v>
      </c>
      <c r="F126" s="25"/>
      <c r="G126" s="10"/>
      <c r="H126" s="3"/>
    </row>
    <row r="127" spans="1:8">
      <c r="A127" s="25" t="s">
        <v>129</v>
      </c>
      <c r="B127" s="24" t="s">
        <v>41</v>
      </c>
      <c r="C127" s="25">
        <v>687</v>
      </c>
      <c r="D127" s="25">
        <v>0</v>
      </c>
      <c r="E127" s="25">
        <v>17397</v>
      </c>
      <c r="F127" s="25"/>
      <c r="G127" s="10"/>
      <c r="H127" s="3"/>
    </row>
    <row r="128" spans="1:8">
      <c r="A128" s="25"/>
      <c r="C128" s="25"/>
      <c r="D128" s="25"/>
      <c r="E128" s="25"/>
      <c r="F128" s="25"/>
      <c r="G128" s="10"/>
      <c r="H128" s="3"/>
    </row>
    <row r="129" spans="1:8">
      <c r="A129" s="30">
        <v>29</v>
      </c>
      <c r="B129" s="6" t="s">
        <v>290</v>
      </c>
      <c r="C129" s="25"/>
      <c r="D129" s="25"/>
      <c r="E129" s="25"/>
      <c r="F129" s="25"/>
      <c r="G129" s="10"/>
      <c r="H129" s="3"/>
    </row>
    <row r="130" spans="1:8">
      <c r="A130" s="30" t="s">
        <v>165</v>
      </c>
      <c r="B130" s="6" t="s">
        <v>37</v>
      </c>
      <c r="C130" s="25">
        <v>38</v>
      </c>
      <c r="D130" s="25">
        <v>0</v>
      </c>
      <c r="E130" s="25">
        <v>23400</v>
      </c>
      <c r="F130" s="25"/>
      <c r="G130" s="10"/>
      <c r="H130" s="3"/>
    </row>
    <row r="131" spans="1:8">
      <c r="A131" s="30" t="s">
        <v>166</v>
      </c>
      <c r="B131" s="6" t="s">
        <v>79</v>
      </c>
      <c r="C131" s="25">
        <v>4</v>
      </c>
      <c r="D131" s="25">
        <v>17</v>
      </c>
      <c r="E131" s="25">
        <v>119490</v>
      </c>
      <c r="F131" s="25"/>
      <c r="G131" s="10"/>
      <c r="H131" s="3"/>
    </row>
    <row r="132" spans="1:8">
      <c r="A132" s="30" t="s">
        <v>291</v>
      </c>
      <c r="B132" s="29" t="s">
        <v>222</v>
      </c>
      <c r="C132" s="30">
        <v>83.5</v>
      </c>
      <c r="D132" s="30" t="s">
        <v>400</v>
      </c>
      <c r="E132" s="30">
        <v>6338.5</v>
      </c>
      <c r="F132" s="30"/>
      <c r="G132" s="6" t="s">
        <v>536</v>
      </c>
      <c r="H132" s="122"/>
    </row>
    <row r="133" spans="1:8">
      <c r="A133" s="30" t="s">
        <v>292</v>
      </c>
      <c r="B133" s="29" t="s">
        <v>293</v>
      </c>
      <c r="C133" s="30">
        <v>16279</v>
      </c>
      <c r="D133" s="30">
        <v>0</v>
      </c>
      <c r="E133" s="30">
        <v>2448977</v>
      </c>
      <c r="F133" s="30"/>
      <c r="G133" s="6"/>
      <c r="H133" s="122"/>
    </row>
    <row r="134" spans="1:8">
      <c r="A134" s="30" t="s">
        <v>294</v>
      </c>
      <c r="B134" s="29" t="s">
        <v>223</v>
      </c>
      <c r="C134" s="30">
        <v>16279</v>
      </c>
      <c r="D134" s="30">
        <v>0</v>
      </c>
      <c r="E134" s="30"/>
      <c r="F134" s="30"/>
      <c r="G134" s="6"/>
      <c r="H134" s="122"/>
    </row>
    <row r="135" spans="1:8">
      <c r="A135" s="30" t="s">
        <v>295</v>
      </c>
      <c r="B135" s="37" t="s">
        <v>224</v>
      </c>
      <c r="C135" s="30">
        <v>0</v>
      </c>
      <c r="D135" s="30">
        <v>0</v>
      </c>
      <c r="E135" s="30"/>
      <c r="F135" s="30"/>
      <c r="G135" s="6" t="s">
        <v>475</v>
      </c>
      <c r="H135" s="122"/>
    </row>
    <row r="136" spans="1:8">
      <c r="A136" s="30" t="s">
        <v>296</v>
      </c>
      <c r="B136" s="37" t="s">
        <v>225</v>
      </c>
      <c r="C136" s="30">
        <v>0</v>
      </c>
      <c r="D136" s="30">
        <v>0</v>
      </c>
      <c r="E136" s="30">
        <v>0</v>
      </c>
      <c r="F136" s="30"/>
      <c r="G136" s="6" t="s">
        <v>475</v>
      </c>
      <c r="H136" s="122"/>
    </row>
    <row r="137" spans="1:8">
      <c r="A137" s="25"/>
      <c r="B137" s="6" t="s">
        <v>297</v>
      </c>
      <c r="C137" s="25"/>
      <c r="D137" s="25"/>
      <c r="E137" s="25"/>
      <c r="F137" s="25"/>
      <c r="G137" s="10"/>
      <c r="H137" s="3"/>
    </row>
    <row r="138" spans="1:8">
      <c r="A138" s="38" t="s">
        <v>298</v>
      </c>
      <c r="B138" s="37" t="s">
        <v>197</v>
      </c>
      <c r="C138" s="30">
        <v>0</v>
      </c>
      <c r="D138" s="30">
        <v>0</v>
      </c>
      <c r="E138" s="30">
        <v>6</v>
      </c>
      <c r="F138" s="30"/>
      <c r="G138" s="6"/>
      <c r="H138" s="122"/>
    </row>
    <row r="139" spans="1:8">
      <c r="A139" s="38" t="s">
        <v>299</v>
      </c>
      <c r="B139" s="37" t="s">
        <v>198</v>
      </c>
      <c r="C139" s="30">
        <v>0</v>
      </c>
      <c r="D139" s="30">
        <v>0</v>
      </c>
      <c r="E139" s="30">
        <v>2680</v>
      </c>
      <c r="F139" s="30"/>
      <c r="G139" s="6"/>
      <c r="H139" s="122"/>
    </row>
    <row r="140" spans="1:8">
      <c r="A140" s="38" t="s">
        <v>300</v>
      </c>
      <c r="B140" s="37" t="s">
        <v>199</v>
      </c>
      <c r="C140" s="30">
        <v>0</v>
      </c>
      <c r="D140" s="30">
        <v>0</v>
      </c>
      <c r="E140" s="30">
        <v>107</v>
      </c>
      <c r="F140" s="30"/>
      <c r="G140" s="6" t="s">
        <v>475</v>
      </c>
      <c r="H140" s="122"/>
    </row>
    <row r="141" spans="1:8">
      <c r="A141" s="38" t="s">
        <v>301</v>
      </c>
      <c r="B141" s="37" t="s">
        <v>200</v>
      </c>
      <c r="C141" s="30" t="s">
        <v>400</v>
      </c>
      <c r="D141" s="30" t="s">
        <v>400</v>
      </c>
      <c r="E141" s="30">
        <v>85677</v>
      </c>
      <c r="F141" s="30"/>
      <c r="G141" s="6"/>
      <c r="H141" s="122"/>
    </row>
    <row r="142" spans="1:8">
      <c r="A142" s="30" t="s">
        <v>302</v>
      </c>
      <c r="B142" s="37" t="s">
        <v>220</v>
      </c>
      <c r="C142" s="30">
        <v>158</v>
      </c>
      <c r="D142" s="30">
        <v>0</v>
      </c>
      <c r="E142" s="30">
        <v>3719</v>
      </c>
      <c r="F142" s="30"/>
      <c r="G142" s="6"/>
      <c r="H142" s="122"/>
    </row>
    <row r="143" spans="1:8">
      <c r="A143" s="30" t="s">
        <v>303</v>
      </c>
      <c r="B143" s="37" t="s">
        <v>221</v>
      </c>
      <c r="C143" s="30">
        <v>2</v>
      </c>
      <c r="D143" s="30">
        <v>0</v>
      </c>
      <c r="E143" s="30">
        <v>443</v>
      </c>
      <c r="F143" s="30"/>
      <c r="G143" s="6"/>
      <c r="H143" s="122"/>
    </row>
    <row r="144" spans="1:8">
      <c r="A144" s="1213"/>
      <c r="B144" s="1214"/>
      <c r="C144" s="1214"/>
      <c r="D144" s="1214"/>
      <c r="E144" s="1214"/>
      <c r="F144" s="1214"/>
      <c r="G144" s="1216"/>
      <c r="H144" s="124"/>
    </row>
    <row r="145" spans="1:9" ht="15.75" customHeight="1">
      <c r="A145" s="1199" t="s">
        <v>99</v>
      </c>
      <c r="B145" s="1299"/>
      <c r="C145" s="1299"/>
      <c r="D145" s="1299"/>
      <c r="E145" s="1299"/>
      <c r="F145" s="1299"/>
      <c r="G145" s="1299"/>
      <c r="H145" s="128"/>
      <c r="I145" s="120"/>
    </row>
    <row r="147" spans="1:9">
      <c r="A147" s="38">
        <v>30</v>
      </c>
      <c r="B147" s="6" t="s">
        <v>304</v>
      </c>
      <c r="C147" s="53">
        <f>SUM(C148:C149)</f>
        <v>3098774</v>
      </c>
    </row>
    <row r="148" spans="1:9">
      <c r="A148" s="27" t="s">
        <v>169</v>
      </c>
      <c r="B148" s="10" t="s">
        <v>167</v>
      </c>
      <c r="C148" s="9">
        <v>1782093</v>
      </c>
    </row>
    <row r="149" spans="1:9">
      <c r="A149" s="27" t="s">
        <v>171</v>
      </c>
      <c r="B149" s="10" t="s">
        <v>168</v>
      </c>
      <c r="C149" s="9">
        <v>1316681</v>
      </c>
    </row>
    <row r="150" spans="1:9" ht="24.75">
      <c r="A150" s="38">
        <v>31</v>
      </c>
      <c r="B150" s="33" t="s">
        <v>305</v>
      </c>
      <c r="C150" s="9"/>
    </row>
    <row r="151" spans="1:9">
      <c r="A151" s="27" t="s">
        <v>137</v>
      </c>
      <c r="B151" s="10" t="s">
        <v>170</v>
      </c>
      <c r="C151" s="9" t="s">
        <v>400</v>
      </c>
    </row>
    <row r="152" spans="1:9">
      <c r="A152" s="27" t="s">
        <v>138</v>
      </c>
      <c r="B152" s="10" t="s">
        <v>172</v>
      </c>
      <c r="C152" s="9" t="s">
        <v>400</v>
      </c>
    </row>
    <row r="153" spans="1:9">
      <c r="A153" s="27"/>
      <c r="B153" s="10"/>
      <c r="C153" s="9"/>
    </row>
    <row r="154" spans="1:9">
      <c r="A154" s="30"/>
      <c r="B154" s="1201" t="s">
        <v>306</v>
      </c>
      <c r="C154" s="1202"/>
    </row>
    <row r="155" spans="1:9">
      <c r="A155" s="30">
        <v>32</v>
      </c>
      <c r="B155" s="26" t="s">
        <v>307</v>
      </c>
      <c r="C155" s="52">
        <f>SUM(C156,C157,C163)</f>
        <v>306594</v>
      </c>
    </row>
    <row r="156" spans="1:9">
      <c r="A156" s="25" t="s">
        <v>308</v>
      </c>
      <c r="B156" s="28" t="s">
        <v>69</v>
      </c>
      <c r="C156" s="25">
        <v>135070</v>
      </c>
    </row>
    <row r="157" spans="1:9">
      <c r="A157" s="27" t="s">
        <v>309</v>
      </c>
      <c r="B157" s="28" t="s">
        <v>70</v>
      </c>
      <c r="C157" s="25">
        <v>76985</v>
      </c>
    </row>
    <row r="158" spans="1:9">
      <c r="A158" s="30">
        <v>33</v>
      </c>
      <c r="B158" s="41" t="s">
        <v>71</v>
      </c>
      <c r="C158" s="25">
        <v>81451</v>
      </c>
    </row>
    <row r="159" spans="1:9">
      <c r="A159" s="30">
        <v>34</v>
      </c>
      <c r="B159" s="26" t="s">
        <v>310</v>
      </c>
      <c r="C159" s="52">
        <f>SUM(C160:C162)</f>
        <v>2565</v>
      </c>
    </row>
    <row r="160" spans="1:9">
      <c r="A160" s="25" t="s">
        <v>173</v>
      </c>
      <c r="B160" s="28" t="s">
        <v>72</v>
      </c>
      <c r="C160" s="25">
        <v>150</v>
      </c>
    </row>
    <row r="161" spans="1:7">
      <c r="A161" s="27" t="s">
        <v>175</v>
      </c>
      <c r="B161" s="28" t="s">
        <v>73</v>
      </c>
      <c r="C161" s="25">
        <v>1336</v>
      </c>
    </row>
    <row r="162" spans="1:7">
      <c r="A162" s="27" t="s">
        <v>177</v>
      </c>
      <c r="B162" s="28" t="s">
        <v>214</v>
      </c>
      <c r="C162" s="25">
        <v>1079</v>
      </c>
    </row>
    <row r="163" spans="1:7">
      <c r="A163" s="23">
        <v>35</v>
      </c>
      <c r="B163" s="26" t="s">
        <v>311</v>
      </c>
      <c r="C163" s="52">
        <f>SUM(C164:C166)</f>
        <v>94539</v>
      </c>
    </row>
    <row r="164" spans="1:7">
      <c r="A164" s="39" t="s">
        <v>312</v>
      </c>
      <c r="B164" s="41" t="s">
        <v>174</v>
      </c>
      <c r="C164" s="25">
        <v>59206</v>
      </c>
    </row>
    <row r="165" spans="1:7">
      <c r="A165" s="27" t="s">
        <v>313</v>
      </c>
      <c r="B165" s="41" t="s">
        <v>176</v>
      </c>
      <c r="C165" s="25">
        <v>34558</v>
      </c>
    </row>
    <row r="166" spans="1:7">
      <c r="A166" s="27" t="s">
        <v>314</v>
      </c>
      <c r="B166" s="41" t="s">
        <v>178</v>
      </c>
      <c r="C166" s="25">
        <v>775</v>
      </c>
    </row>
    <row r="168" spans="1:7">
      <c r="A168" s="23"/>
      <c r="B168" s="129" t="s">
        <v>87</v>
      </c>
      <c r="C168" s="127"/>
      <c r="D168" s="127"/>
      <c r="E168" s="130"/>
      <c r="F168" s="131"/>
    </row>
    <row r="169" spans="1:7">
      <c r="A169" s="23">
        <v>36</v>
      </c>
      <c r="B169" s="132" t="s">
        <v>74</v>
      </c>
      <c r="C169" s="133">
        <v>4903</v>
      </c>
      <c r="D169" s="134"/>
      <c r="E169" s="46"/>
      <c r="F169" s="46"/>
      <c r="G169" s="135"/>
    </row>
    <row r="170" spans="1:7">
      <c r="A170" s="23">
        <v>37</v>
      </c>
      <c r="B170" s="41" t="s">
        <v>75</v>
      </c>
      <c r="C170" s="136">
        <v>10564</v>
      </c>
      <c r="D170" s="134"/>
      <c r="E170" s="46"/>
      <c r="F170" s="46"/>
      <c r="G170" s="135"/>
    </row>
    <row r="171" spans="1:7">
      <c r="A171" s="23">
        <v>38</v>
      </c>
      <c r="B171" s="26" t="s">
        <v>315</v>
      </c>
      <c r="C171" s="54">
        <f>SUM(C172:C174)</f>
        <v>15269</v>
      </c>
      <c r="D171" s="137"/>
      <c r="E171" s="138"/>
      <c r="F171" s="138"/>
      <c r="G171" s="138"/>
    </row>
    <row r="172" spans="1:7">
      <c r="A172" s="39" t="s">
        <v>118</v>
      </c>
      <c r="B172" s="28" t="s">
        <v>208</v>
      </c>
      <c r="C172" s="133">
        <v>6001</v>
      </c>
      <c r="D172" s="134"/>
      <c r="E172" s="46"/>
      <c r="F172" s="46"/>
      <c r="G172" s="135"/>
    </row>
    <row r="173" spans="1:7">
      <c r="A173" s="39" t="s">
        <v>119</v>
      </c>
      <c r="B173" s="28" t="s">
        <v>209</v>
      </c>
      <c r="C173" s="40">
        <v>587</v>
      </c>
      <c r="D173" s="134"/>
      <c r="E173" s="46"/>
      <c r="F173" s="46"/>
      <c r="G173" s="135"/>
    </row>
    <row r="174" spans="1:7">
      <c r="A174" s="27" t="s">
        <v>120</v>
      </c>
      <c r="B174" s="28" t="s">
        <v>210</v>
      </c>
      <c r="C174" s="40">
        <v>8681</v>
      </c>
      <c r="D174" s="134"/>
      <c r="E174" s="46"/>
      <c r="F174" s="46"/>
      <c r="G174" s="135"/>
    </row>
    <row r="175" spans="1:7">
      <c r="A175" s="23">
        <v>39</v>
      </c>
      <c r="B175" s="26" t="s">
        <v>316</v>
      </c>
      <c r="C175" s="54">
        <f>SUM(C176:C178)</f>
        <v>0</v>
      </c>
      <c r="D175" s="134"/>
      <c r="E175" s="46"/>
      <c r="F175" s="46"/>
      <c r="G175" s="135"/>
    </row>
    <row r="176" spans="1:7">
      <c r="A176" s="39" t="s">
        <v>317</v>
      </c>
      <c r="B176" s="28" t="s">
        <v>76</v>
      </c>
      <c r="C176" s="40" t="s">
        <v>400</v>
      </c>
      <c r="D176" s="134"/>
      <c r="E176" s="46"/>
      <c r="F176" s="46"/>
      <c r="G176" s="135"/>
    </row>
    <row r="177" spans="1:7">
      <c r="A177" s="39" t="s">
        <v>318</v>
      </c>
      <c r="B177" s="28" t="s">
        <v>77</v>
      </c>
      <c r="C177" s="40" t="s">
        <v>400</v>
      </c>
      <c r="D177" s="134"/>
      <c r="E177" s="46"/>
      <c r="F177" s="46"/>
      <c r="G177" s="135"/>
    </row>
    <row r="178" spans="1:7">
      <c r="A178" s="27" t="s">
        <v>319</v>
      </c>
      <c r="B178" s="28" t="s">
        <v>78</v>
      </c>
      <c r="C178" s="40" t="s">
        <v>400</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5506</v>
      </c>
      <c r="D181" s="134"/>
      <c r="E181" s="46"/>
      <c r="F181" s="46"/>
      <c r="G181" s="135"/>
    </row>
    <row r="182" spans="1:7">
      <c r="A182" s="23">
        <v>41</v>
      </c>
      <c r="B182" s="41" t="s">
        <v>75</v>
      </c>
      <c r="C182" s="40">
        <v>5364</v>
      </c>
      <c r="D182" s="134"/>
      <c r="E182" s="46"/>
      <c r="F182" s="46"/>
      <c r="G182" s="135"/>
    </row>
    <row r="183" spans="1:7">
      <c r="A183" s="23">
        <v>42</v>
      </c>
      <c r="B183" s="26" t="s">
        <v>320</v>
      </c>
      <c r="C183" s="54">
        <f>SUM(C184:C186)</f>
        <v>10673</v>
      </c>
      <c r="D183" s="134"/>
      <c r="E183" s="46"/>
      <c r="F183" s="46"/>
      <c r="G183" s="135"/>
    </row>
    <row r="184" spans="1:7">
      <c r="A184" s="39" t="s">
        <v>96</v>
      </c>
      <c r="B184" s="28" t="s">
        <v>211</v>
      </c>
      <c r="C184" s="136">
        <v>4153</v>
      </c>
      <c r="D184" s="134"/>
      <c r="E184" s="46"/>
      <c r="F184" s="46"/>
      <c r="G184" s="135"/>
    </row>
    <row r="185" spans="1:7">
      <c r="A185" s="39" t="s">
        <v>97</v>
      </c>
      <c r="B185" s="28" t="s">
        <v>212</v>
      </c>
      <c r="C185" s="40">
        <v>701</v>
      </c>
      <c r="D185" s="140"/>
      <c r="E185" s="141"/>
      <c r="F185" s="46"/>
      <c r="G185" s="135"/>
    </row>
    <row r="186" spans="1:7">
      <c r="A186" s="27" t="s">
        <v>98</v>
      </c>
      <c r="B186" s="28" t="s">
        <v>213</v>
      </c>
      <c r="C186" s="25">
        <v>5819</v>
      </c>
      <c r="D186" s="25"/>
      <c r="E186" s="25"/>
      <c r="F186" s="46"/>
    </row>
    <row r="187" spans="1:7">
      <c r="A187" s="23">
        <v>43</v>
      </c>
      <c r="B187" s="26" t="s">
        <v>321</v>
      </c>
      <c r="C187" s="54">
        <f>SUM(C188:C190)</f>
        <v>0</v>
      </c>
      <c r="D187" s="25"/>
      <c r="E187" s="25"/>
      <c r="F187" s="46"/>
    </row>
    <row r="188" spans="1:7">
      <c r="A188" s="39" t="s">
        <v>100</v>
      </c>
      <c r="B188" s="28" t="s">
        <v>76</v>
      </c>
      <c r="C188" s="40" t="s">
        <v>400</v>
      </c>
      <c r="D188" s="25"/>
      <c r="E188" s="25"/>
      <c r="F188" s="46"/>
    </row>
    <row r="189" spans="1:7">
      <c r="A189" s="39" t="s">
        <v>101</v>
      </c>
      <c r="B189" s="28" t="s">
        <v>77</v>
      </c>
      <c r="C189" s="40" t="s">
        <v>400</v>
      </c>
      <c r="D189" s="25"/>
      <c r="E189" s="25"/>
      <c r="F189" s="46"/>
    </row>
    <row r="190" spans="1:7">
      <c r="A190" s="25" t="s">
        <v>102</v>
      </c>
      <c r="B190" s="13" t="s">
        <v>78</v>
      </c>
      <c r="C190" s="40" t="s">
        <v>400</v>
      </c>
      <c r="D190" s="25"/>
      <c r="E190" s="25"/>
      <c r="F190" s="46"/>
    </row>
    <row r="191" spans="1:7">
      <c r="D191" s="142"/>
      <c r="E191" s="143"/>
    </row>
    <row r="192" spans="1:7">
      <c r="A192" s="25"/>
      <c r="B192" s="6" t="s">
        <v>322</v>
      </c>
      <c r="C192" s="40" t="s">
        <v>90</v>
      </c>
      <c r="D192" s="1297" t="s">
        <v>81</v>
      </c>
      <c r="E192" s="1298"/>
      <c r="F192" s="131"/>
    </row>
    <row r="193" spans="1:6">
      <c r="A193" s="25"/>
      <c r="B193" s="10"/>
      <c r="C193" s="40"/>
      <c r="D193" s="43" t="s">
        <v>82</v>
      </c>
      <c r="E193" s="43" t="s">
        <v>83</v>
      </c>
      <c r="F193" s="144"/>
    </row>
    <row r="194" spans="1:6">
      <c r="A194" s="30">
        <v>44</v>
      </c>
      <c r="B194" s="6" t="s">
        <v>323</v>
      </c>
      <c r="C194" s="54">
        <f>SUM(C195:C197)</f>
        <v>538</v>
      </c>
      <c r="D194" s="52">
        <f>SUM(D195:D197)</f>
        <v>0</v>
      </c>
      <c r="E194" s="52">
        <f>SUM(E195:E197)</f>
        <v>24</v>
      </c>
      <c r="F194" s="145"/>
    </row>
    <row r="195" spans="1:6">
      <c r="A195" s="25" t="s">
        <v>121</v>
      </c>
      <c r="B195" s="13" t="s">
        <v>181</v>
      </c>
      <c r="C195" s="40">
        <v>444</v>
      </c>
      <c r="D195" s="25"/>
      <c r="E195" s="25">
        <v>1</v>
      </c>
      <c r="F195" s="46"/>
    </row>
    <row r="196" spans="1:6">
      <c r="A196" s="25" t="s">
        <v>122</v>
      </c>
      <c r="B196" s="13" t="s">
        <v>182</v>
      </c>
      <c r="C196" s="40">
        <v>34</v>
      </c>
      <c r="D196" s="25"/>
      <c r="E196" s="25">
        <v>23</v>
      </c>
      <c r="F196" s="46"/>
    </row>
    <row r="197" spans="1:6">
      <c r="A197" s="27" t="s">
        <v>123</v>
      </c>
      <c r="B197" s="13" t="s">
        <v>180</v>
      </c>
      <c r="C197" s="40">
        <v>60</v>
      </c>
      <c r="D197" s="25"/>
      <c r="E197" s="25"/>
      <c r="F197" s="46"/>
    </row>
    <row r="198" spans="1:6">
      <c r="A198" s="30">
        <v>45</v>
      </c>
      <c r="B198" s="6" t="s">
        <v>324</v>
      </c>
      <c r="C198" s="54">
        <f>SUM(C199:C201)</f>
        <v>13711</v>
      </c>
      <c r="D198" s="52">
        <f>SUM(D199:D201)</f>
        <v>0</v>
      </c>
      <c r="E198" s="52">
        <f>SUM(E199:E201)</f>
        <v>0</v>
      </c>
      <c r="F198" s="145"/>
    </row>
    <row r="199" spans="1:6">
      <c r="A199" s="25" t="s">
        <v>325</v>
      </c>
      <c r="B199" s="13" t="s">
        <v>80</v>
      </c>
      <c r="C199" s="40">
        <v>11396</v>
      </c>
      <c r="D199" s="25"/>
      <c r="E199" s="25"/>
      <c r="F199" s="46"/>
    </row>
    <row r="200" spans="1:6">
      <c r="A200" s="25" t="s">
        <v>326</v>
      </c>
      <c r="B200" s="13" t="s">
        <v>60</v>
      </c>
      <c r="C200" s="40">
        <v>1115</v>
      </c>
      <c r="D200" s="25"/>
      <c r="E200" s="25"/>
      <c r="F200" s="46"/>
    </row>
    <row r="201" spans="1:6">
      <c r="A201" s="27" t="s">
        <v>327</v>
      </c>
      <c r="B201" s="13" t="s">
        <v>180</v>
      </c>
      <c r="C201" s="40">
        <v>1200</v>
      </c>
      <c r="D201" s="25"/>
      <c r="E201" s="25"/>
      <c r="F201" s="46"/>
    </row>
    <row r="202" spans="1:6">
      <c r="A202" s="44"/>
      <c r="B202" s="45"/>
      <c r="C202" s="46"/>
      <c r="D202" s="146"/>
      <c r="E202" s="147"/>
      <c r="F202" s="46"/>
    </row>
    <row r="203" spans="1:6">
      <c r="A203" s="30">
        <v>46</v>
      </c>
      <c r="B203" s="10" t="s">
        <v>203</v>
      </c>
      <c r="C203" s="40">
        <v>0</v>
      </c>
      <c r="D203" s="25"/>
      <c r="E203" s="25"/>
      <c r="F203" s="46"/>
    </row>
    <row r="204" spans="1:6">
      <c r="A204" s="30">
        <v>47</v>
      </c>
      <c r="B204" s="49" t="s">
        <v>204</v>
      </c>
      <c r="C204" s="40">
        <v>0</v>
      </c>
      <c r="D204" s="25"/>
      <c r="E204" s="25"/>
      <c r="F204" s="46"/>
    </row>
    <row r="205" spans="1:6">
      <c r="A205" s="30">
        <v>48</v>
      </c>
      <c r="B205" s="10" t="s">
        <v>179</v>
      </c>
      <c r="C205" s="40">
        <v>871</v>
      </c>
      <c r="D205" s="25"/>
      <c r="E205" s="25"/>
      <c r="F205" s="46"/>
    </row>
    <row r="206" spans="1:6">
      <c r="A206" s="30">
        <v>49</v>
      </c>
      <c r="B206" s="10" t="s">
        <v>61</v>
      </c>
      <c r="C206" s="40">
        <v>2673</v>
      </c>
      <c r="D206" s="25"/>
      <c r="E206" s="25"/>
      <c r="F206" s="46"/>
    </row>
    <row r="207" spans="1:6">
      <c r="A207" s="148">
        <v>50</v>
      </c>
      <c r="B207" s="48" t="s">
        <v>202</v>
      </c>
      <c r="C207" s="47">
        <v>89</v>
      </c>
      <c r="D207" s="149"/>
      <c r="E207" s="150"/>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t="s">
        <v>400</v>
      </c>
      <c r="D211" s="52" t="s">
        <v>400</v>
      </c>
      <c r="E211" s="9">
        <f>SUM(E212,E214,E216,E218,E220,E222,E224,E226)</f>
        <v>367</v>
      </c>
      <c r="F211" s="10"/>
    </row>
    <row r="212" spans="1:6" s="1" customFormat="1">
      <c r="A212" s="27" t="s">
        <v>329</v>
      </c>
      <c r="B212" s="13" t="s">
        <v>226</v>
      </c>
      <c r="C212" s="9" t="s">
        <v>400</v>
      </c>
      <c r="D212" s="9" t="s">
        <v>400</v>
      </c>
      <c r="E212" s="9">
        <v>271</v>
      </c>
      <c r="F212" s="10"/>
    </row>
    <row r="213" spans="1:6" s="1" customFormat="1">
      <c r="A213" s="27" t="s">
        <v>330</v>
      </c>
      <c r="B213" s="35" t="s">
        <v>128</v>
      </c>
      <c r="C213" s="9" t="s">
        <v>400</v>
      </c>
      <c r="D213" s="9" t="s">
        <v>400</v>
      </c>
      <c r="E213" s="9">
        <v>89</v>
      </c>
      <c r="F213" s="10"/>
    </row>
    <row r="214" spans="1:6" s="1" customFormat="1">
      <c r="A214" s="27" t="s">
        <v>331</v>
      </c>
      <c r="B214" s="13" t="s">
        <v>227</v>
      </c>
      <c r="C214" s="9" t="s">
        <v>400</v>
      </c>
      <c r="D214" s="9" t="s">
        <v>400</v>
      </c>
      <c r="E214" s="9">
        <v>70</v>
      </c>
      <c r="F214" s="10"/>
    </row>
    <row r="215" spans="1:6" s="1" customFormat="1">
      <c r="A215" s="27" t="s">
        <v>332</v>
      </c>
      <c r="B215" s="35" t="s">
        <v>130</v>
      </c>
      <c r="C215" s="9" t="s">
        <v>400</v>
      </c>
      <c r="D215" s="9" t="s">
        <v>400</v>
      </c>
      <c r="E215" s="9">
        <v>70</v>
      </c>
      <c r="F215" s="10"/>
    </row>
    <row r="216" spans="1:6" s="1" customFormat="1">
      <c r="A216" s="27" t="s">
        <v>333</v>
      </c>
      <c r="B216" s="13" t="s">
        <v>232</v>
      </c>
      <c r="C216" s="9">
        <v>0</v>
      </c>
      <c r="D216" s="9"/>
      <c r="E216" s="9"/>
      <c r="F216" s="10"/>
    </row>
    <row r="217" spans="1:6" s="1" customFormat="1">
      <c r="A217" s="27" t="s">
        <v>334</v>
      </c>
      <c r="B217" s="35" t="s">
        <v>131</v>
      </c>
      <c r="C217" s="9">
        <v>0</v>
      </c>
      <c r="D217" s="9"/>
      <c r="E217" s="9"/>
      <c r="F217" s="10"/>
    </row>
    <row r="218" spans="1:6" s="1" customFormat="1">
      <c r="A218" s="27" t="s">
        <v>335</v>
      </c>
      <c r="B218" s="13" t="s">
        <v>233</v>
      </c>
      <c r="C218" s="9">
        <v>0</v>
      </c>
      <c r="D218" s="9"/>
      <c r="E218" s="9"/>
      <c r="F218" s="10"/>
    </row>
    <row r="219" spans="1:6" s="1" customFormat="1">
      <c r="A219" s="27" t="s">
        <v>336</v>
      </c>
      <c r="B219" s="35" t="s">
        <v>132</v>
      </c>
      <c r="C219" s="9">
        <v>0</v>
      </c>
      <c r="D219" s="9"/>
      <c r="E219" s="9"/>
      <c r="F219" s="10"/>
    </row>
    <row r="220" spans="1:6" s="1" customFormat="1">
      <c r="A220" s="27" t="s">
        <v>337</v>
      </c>
      <c r="B220" s="13" t="s">
        <v>234</v>
      </c>
      <c r="C220" s="9"/>
      <c r="D220" s="9"/>
      <c r="E220" s="9">
        <v>26</v>
      </c>
      <c r="F220" s="10"/>
    </row>
    <row r="221" spans="1:6" s="1" customFormat="1">
      <c r="A221" s="27" t="s">
        <v>338</v>
      </c>
      <c r="B221" s="35" t="s">
        <v>133</v>
      </c>
      <c r="C221" s="9"/>
      <c r="D221" s="9"/>
      <c r="E221" s="9">
        <v>4</v>
      </c>
      <c r="F221" s="10"/>
    </row>
    <row r="222" spans="1:6" s="1" customFormat="1">
      <c r="A222" s="27" t="s">
        <v>339</v>
      </c>
      <c r="B222" s="13" t="s">
        <v>235</v>
      </c>
      <c r="C222" s="9">
        <v>0</v>
      </c>
      <c r="D222" s="9"/>
      <c r="E222" s="9"/>
      <c r="F222" s="10"/>
    </row>
    <row r="223" spans="1:6" s="1" customFormat="1">
      <c r="A223" s="27" t="s">
        <v>340</v>
      </c>
      <c r="B223" s="35" t="s">
        <v>134</v>
      </c>
      <c r="C223" s="9">
        <v>0</v>
      </c>
      <c r="D223" s="9"/>
      <c r="E223" s="9"/>
      <c r="F223" s="10"/>
    </row>
    <row r="224" spans="1:6" s="1" customFormat="1">
      <c r="A224" s="27" t="s">
        <v>341</v>
      </c>
      <c r="B224" s="13" t="s">
        <v>236</v>
      </c>
      <c r="C224" s="9">
        <v>0</v>
      </c>
      <c r="D224" s="9"/>
      <c r="E224" s="9"/>
      <c r="F224" s="10"/>
    </row>
    <row r="225" spans="1:8" s="1" customFormat="1">
      <c r="A225" s="27" t="s">
        <v>342</v>
      </c>
      <c r="B225" s="35" t="s">
        <v>135</v>
      </c>
      <c r="C225" s="9">
        <v>0</v>
      </c>
      <c r="D225" s="9"/>
      <c r="E225" s="9"/>
      <c r="F225" s="10"/>
    </row>
    <row r="226" spans="1:8" s="1" customFormat="1">
      <c r="A226" s="27" t="s">
        <v>343</v>
      </c>
      <c r="B226" s="13" t="s">
        <v>237</v>
      </c>
      <c r="C226" s="9">
        <v>0</v>
      </c>
      <c r="D226" s="9"/>
      <c r="E226" s="9"/>
      <c r="F226" s="10"/>
    </row>
    <row r="227" spans="1:8" s="1" customFormat="1" ht="25.5">
      <c r="A227" s="27" t="s">
        <v>344</v>
      </c>
      <c r="B227" s="152" t="s">
        <v>136</v>
      </c>
      <c r="C227" s="9">
        <v>0</v>
      </c>
      <c r="D227" s="9"/>
      <c r="E227" s="9"/>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97" t="s">
        <v>475</v>
      </c>
      <c r="D230" s="47"/>
      <c r="E230" s="47"/>
      <c r="F230" s="47"/>
    </row>
    <row r="231" spans="1:8">
      <c r="A231" s="27" t="s">
        <v>347</v>
      </c>
      <c r="B231" s="152" t="s">
        <v>115</v>
      </c>
      <c r="C231" s="156"/>
      <c r="D231" s="47"/>
      <c r="E231" s="47"/>
      <c r="F231" s="47"/>
    </row>
    <row r="232" spans="1:8" ht="25.5">
      <c r="A232" s="27" t="s">
        <v>348</v>
      </c>
      <c r="B232" s="155" t="s">
        <v>239</v>
      </c>
      <c r="C232" s="156" t="s">
        <v>475</v>
      </c>
      <c r="D232" s="47"/>
      <c r="E232" s="47"/>
      <c r="F232" s="47"/>
    </row>
    <row r="233" spans="1:8">
      <c r="A233" s="27" t="s">
        <v>349</v>
      </c>
      <c r="B233" s="152" t="s">
        <v>116</v>
      </c>
      <c r="C233" s="156">
        <v>0</v>
      </c>
      <c r="D233" s="47"/>
      <c r="E233" s="47"/>
      <c r="F233" s="47"/>
    </row>
    <row r="234" spans="1:8" ht="25.5">
      <c r="A234" s="27" t="s">
        <v>350</v>
      </c>
      <c r="B234" s="155" t="s">
        <v>240</v>
      </c>
      <c r="C234" s="156" t="s">
        <v>475</v>
      </c>
      <c r="D234" s="47"/>
      <c r="E234" s="47"/>
      <c r="F234" s="47"/>
    </row>
    <row r="235" spans="1:8">
      <c r="A235" s="27" t="s">
        <v>351</v>
      </c>
      <c r="B235" s="152" t="s">
        <v>117</v>
      </c>
      <c r="C235" s="157" t="s">
        <v>475</v>
      </c>
      <c r="D235" s="47"/>
      <c r="E235" s="47"/>
      <c r="F235" s="47"/>
    </row>
    <row r="236" spans="1:8">
      <c r="A236" s="158"/>
      <c r="B236" s="159"/>
      <c r="C236" s="47"/>
      <c r="D236" s="47"/>
      <c r="E236" s="47"/>
      <c r="F236" s="47"/>
    </row>
    <row r="237" spans="1:8" ht="15.75" customHeight="1">
      <c r="A237" s="1199" t="s">
        <v>89</v>
      </c>
      <c r="B237" s="1299"/>
      <c r="C237" s="1299"/>
      <c r="D237" s="1299"/>
      <c r="E237" s="1299"/>
      <c r="F237" s="1299"/>
      <c r="G237" s="1300"/>
      <c r="H237" s="120"/>
    </row>
    <row r="238" spans="1:8">
      <c r="A238" s="25" t="s">
        <v>86</v>
      </c>
      <c r="B238" s="25" t="s">
        <v>8</v>
      </c>
      <c r="C238" s="25" t="s">
        <v>0</v>
      </c>
      <c r="D238" s="25"/>
      <c r="E238" s="40"/>
      <c r="F238" s="40"/>
      <c r="G238" s="10"/>
      <c r="H238" s="3"/>
    </row>
    <row r="239" spans="1:8">
      <c r="A239" s="30">
        <v>52</v>
      </c>
      <c r="B239" s="10" t="s">
        <v>62</v>
      </c>
      <c r="C239" s="25">
        <v>96.75</v>
      </c>
      <c r="D239" s="25"/>
      <c r="E239" s="40"/>
      <c r="F239" s="40"/>
      <c r="G239" s="10"/>
      <c r="H239" s="3"/>
    </row>
    <row r="240" spans="1:8">
      <c r="A240" s="30">
        <v>53</v>
      </c>
      <c r="B240" s="10" t="s">
        <v>63</v>
      </c>
      <c r="C240" s="25" t="s">
        <v>400</v>
      </c>
      <c r="D240" s="25"/>
      <c r="E240" s="40"/>
      <c r="F240" s="40"/>
      <c r="G240" s="10"/>
      <c r="H240" s="3"/>
    </row>
    <row r="241" spans="1:10">
      <c r="A241" s="30">
        <v>54</v>
      </c>
      <c r="B241" s="10" t="s">
        <v>215</v>
      </c>
      <c r="C241" s="25">
        <v>132</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586</v>
      </c>
      <c r="D245" s="52">
        <f>SUM(D246:D251)</f>
        <v>0</v>
      </c>
      <c r="E245" s="54">
        <f>SUM(E246:E251)</f>
        <v>622</v>
      </c>
      <c r="F245" s="54">
        <f>SUM(F246:F251)</f>
        <v>150</v>
      </c>
      <c r="G245" s="52">
        <f>SUM(C245:F245)</f>
        <v>1358</v>
      </c>
      <c r="H245" s="145"/>
    </row>
    <row r="246" spans="1:10">
      <c r="A246" s="25" t="s">
        <v>353</v>
      </c>
      <c r="B246" s="13" t="s">
        <v>64</v>
      </c>
      <c r="C246" s="25"/>
      <c r="D246" s="25"/>
      <c r="E246" s="40">
        <v>574</v>
      </c>
      <c r="F246" s="40">
        <v>121</v>
      </c>
      <c r="G246" s="10">
        <f>SUM(C246:F246)</f>
        <v>695</v>
      </c>
      <c r="H246" s="3"/>
      <c r="J246" s="25"/>
    </row>
    <row r="247" spans="1:10">
      <c r="A247" s="27" t="s">
        <v>354</v>
      </c>
      <c r="B247" s="13" t="s">
        <v>65</v>
      </c>
      <c r="C247" s="25"/>
      <c r="D247" s="25"/>
      <c r="E247" s="40"/>
      <c r="F247" s="40">
        <v>29</v>
      </c>
      <c r="G247" s="10">
        <f t="shared" ref="G247:G249" si="0">SUM(C247:F247)</f>
        <v>29</v>
      </c>
      <c r="H247" s="3"/>
    </row>
    <row r="248" spans="1:10">
      <c r="A248" s="27" t="s">
        <v>355</v>
      </c>
      <c r="B248" s="13" t="s">
        <v>66</v>
      </c>
      <c r="C248" s="25"/>
      <c r="D248" s="25"/>
      <c r="E248" s="40">
        <v>23</v>
      </c>
      <c r="F248" s="40"/>
      <c r="G248" s="10">
        <f t="shared" si="0"/>
        <v>23</v>
      </c>
      <c r="H248" s="3"/>
    </row>
    <row r="249" spans="1:10">
      <c r="A249" s="27" t="s">
        <v>356</v>
      </c>
      <c r="B249" s="13" t="s">
        <v>67</v>
      </c>
      <c r="C249" s="25">
        <v>156</v>
      </c>
      <c r="D249" s="25"/>
      <c r="E249" s="40"/>
      <c r="F249" s="40"/>
      <c r="G249" s="10">
        <f t="shared" si="0"/>
        <v>156</v>
      </c>
      <c r="H249" s="3"/>
    </row>
    <row r="250" spans="1:10">
      <c r="A250" s="25" t="s">
        <v>357</v>
      </c>
      <c r="B250" s="13" t="s">
        <v>68</v>
      </c>
      <c r="C250" s="10"/>
      <c r="D250" s="25"/>
      <c r="E250" s="40">
        <v>25</v>
      </c>
      <c r="F250" s="40"/>
      <c r="G250" s="10">
        <v>25</v>
      </c>
      <c r="H250" s="3"/>
    </row>
    <row r="251" spans="1:10" ht="24.75">
      <c r="A251" s="27" t="s">
        <v>358</v>
      </c>
      <c r="B251" s="155" t="s">
        <v>183</v>
      </c>
      <c r="C251" s="25">
        <v>430</v>
      </c>
      <c r="D251" s="25"/>
      <c r="E251" s="40"/>
      <c r="F251" s="40"/>
      <c r="G251" s="10">
        <v>430</v>
      </c>
      <c r="H251" s="3"/>
    </row>
    <row r="252" spans="1:10" ht="15">
      <c r="B252" s="161"/>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legacyDrawing r:id="rId2"/>
</worksheet>
</file>

<file path=xl/worksheets/sheet17.xml><?xml version="1.0" encoding="utf-8"?>
<worksheet xmlns="http://schemas.openxmlformats.org/spreadsheetml/2006/main" xmlns:r="http://schemas.openxmlformats.org/officeDocument/2006/relationships">
  <dimension ref="A1:J252"/>
  <sheetViews>
    <sheetView topLeftCell="A13" zoomScale="110" zoomScaleNormal="110" workbookViewId="0">
      <selection activeCell="D38" sqref="D38:E38"/>
    </sheetView>
  </sheetViews>
  <sheetFormatPr defaultRowHeight="12.75"/>
  <cols>
    <col min="1" max="1" width="11.28515625" customWidth="1"/>
    <col min="2" max="2" width="60.28515625" customWidth="1"/>
    <col min="3" max="3" width="11.28515625" customWidth="1"/>
    <col min="4" max="4" width="10.7109375" customWidth="1"/>
    <col min="5" max="5" width="12.7109375" bestFit="1" customWidth="1"/>
    <col min="6" max="6" width="6.28515625" customWidth="1"/>
    <col min="7" max="7" width="12.140625" customWidth="1"/>
    <col min="8" max="8" width="9.140625" customWidth="1"/>
  </cols>
  <sheetData>
    <row r="1" spans="1:8" ht="18">
      <c r="A1" s="65"/>
      <c r="B1" s="66" t="s">
        <v>241</v>
      </c>
      <c r="C1" s="66"/>
      <c r="D1" s="162" t="s">
        <v>393</v>
      </c>
      <c r="E1" s="67"/>
      <c r="F1" s="67"/>
      <c r="G1" s="66"/>
      <c r="H1" s="172"/>
    </row>
    <row r="2" spans="1:8">
      <c r="A2" s="69"/>
      <c r="B2" s="172"/>
      <c r="C2" s="69"/>
      <c r="D2" s="69"/>
      <c r="E2" s="69"/>
      <c r="F2" s="69"/>
      <c r="G2" s="172"/>
      <c r="H2" s="172"/>
    </row>
    <row r="3" spans="1:8" ht="15.75">
      <c r="A3" s="70" t="s">
        <v>161</v>
      </c>
      <c r="B3" s="194" t="s">
        <v>406</v>
      </c>
      <c r="C3" s="72"/>
      <c r="D3" s="73" t="s">
        <v>185</v>
      </c>
      <c r="E3" s="72"/>
      <c r="F3" s="72"/>
      <c r="G3" s="172"/>
      <c r="H3" s="172"/>
    </row>
    <row r="4" spans="1:8">
      <c r="A4" s="69"/>
      <c r="B4" s="172"/>
      <c r="C4" s="69"/>
      <c r="D4" s="69"/>
      <c r="E4" s="69"/>
      <c r="F4" s="69"/>
      <c r="G4" s="172"/>
      <c r="H4" s="172"/>
    </row>
    <row r="5" spans="1:8" ht="12.75" customHeight="1">
      <c r="A5" s="1231" t="s">
        <v>189</v>
      </c>
      <c r="B5" s="71" t="s">
        <v>407</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71" t="s">
        <v>408</v>
      </c>
      <c r="C7" s="72"/>
      <c r="D7" s="72"/>
      <c r="E7" s="72"/>
      <c r="F7" s="72"/>
      <c r="G7" s="172"/>
      <c r="H7" s="172"/>
    </row>
    <row r="8" spans="1:8">
      <c r="A8" s="1231"/>
      <c r="B8" s="172"/>
      <c r="C8" s="72"/>
      <c r="D8" s="75" t="s">
        <v>188</v>
      </c>
      <c r="E8" s="69"/>
      <c r="F8" s="69"/>
      <c r="G8" s="172"/>
      <c r="H8" s="172"/>
    </row>
    <row r="9" spans="1:8">
      <c r="A9" s="76" t="s">
        <v>190</v>
      </c>
      <c r="B9" s="173" t="s">
        <v>409</v>
      </c>
      <c r="C9" s="72"/>
      <c r="D9" s="69"/>
      <c r="E9" s="69"/>
      <c r="F9" s="69"/>
      <c r="G9" s="172"/>
      <c r="H9" s="172"/>
    </row>
    <row r="10" spans="1:8">
      <c r="A10" s="67"/>
      <c r="B10" s="172"/>
      <c r="C10" s="69"/>
      <c r="D10" s="77" t="s">
        <v>242</v>
      </c>
      <c r="E10" s="69"/>
      <c r="F10" s="78"/>
      <c r="G10" s="172"/>
      <c r="H10" s="172"/>
    </row>
    <row r="11" spans="1:8">
      <c r="A11" s="79" t="s">
        <v>162</v>
      </c>
      <c r="B11" s="71" t="s">
        <v>410</v>
      </c>
      <c r="C11" s="72"/>
      <c r="D11" s="69"/>
      <c r="E11" s="69"/>
      <c r="F11" s="69"/>
      <c r="G11" s="172"/>
      <c r="H11" s="172"/>
    </row>
    <row r="12" spans="1:8">
      <c r="A12" s="69"/>
      <c r="B12" s="172"/>
      <c r="C12" s="69"/>
      <c r="D12" s="67"/>
      <c r="E12" s="69"/>
      <c r="F12" s="69"/>
      <c r="G12" s="172"/>
      <c r="H12" s="172"/>
    </row>
    <row r="13" spans="1:8">
      <c r="A13" s="1232" t="s">
        <v>163</v>
      </c>
      <c r="B13" s="71" t="s">
        <v>411</v>
      </c>
      <c r="C13" s="72"/>
      <c r="D13" s="72"/>
      <c r="E13" s="69"/>
      <c r="F13" s="69"/>
      <c r="G13" s="172"/>
      <c r="H13" s="172"/>
    </row>
    <row r="14" spans="1:8">
      <c r="A14" s="1232"/>
      <c r="B14" s="172"/>
      <c r="C14" s="172"/>
      <c r="D14" s="172"/>
      <c r="E14" s="172"/>
      <c r="F14" s="172"/>
      <c r="G14" s="172"/>
      <c r="H14" s="172"/>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c r="D18" s="1218"/>
      <c r="E18" s="1218"/>
      <c r="F18" s="84"/>
      <c r="G18" s="85"/>
      <c r="H18" s="72"/>
    </row>
    <row r="19" spans="1:8" ht="25.5">
      <c r="A19" s="11" t="s">
        <v>111</v>
      </c>
      <c r="B19" s="86" t="s">
        <v>228</v>
      </c>
      <c r="C19" s="8">
        <v>3</v>
      </c>
      <c r="D19" s="1218" t="s">
        <v>412</v>
      </c>
      <c r="E19" s="1218"/>
      <c r="F19" s="84"/>
      <c r="G19" s="85"/>
      <c r="H19" s="72"/>
    </row>
    <row r="20" spans="1:8" ht="25.5">
      <c r="A20" s="11" t="s">
        <v>112</v>
      </c>
      <c r="B20" s="86" t="s">
        <v>229</v>
      </c>
      <c r="C20" s="8">
        <v>11</v>
      </c>
      <c r="D20" s="1218"/>
      <c r="E20" s="1218"/>
      <c r="F20" s="84"/>
      <c r="G20" s="85"/>
      <c r="H20" s="72"/>
    </row>
    <row r="21" spans="1:8" ht="25.5">
      <c r="A21" s="11" t="s">
        <v>113</v>
      </c>
      <c r="B21" s="87" t="s">
        <v>230</v>
      </c>
      <c r="C21" s="8">
        <v>7</v>
      </c>
      <c r="D21" s="1218"/>
      <c r="E21" s="1218"/>
      <c r="F21" s="84"/>
      <c r="G21" s="85"/>
      <c r="H21" s="72"/>
    </row>
    <row r="22" spans="1:8" ht="25.5">
      <c r="A22" s="11" t="s">
        <v>114</v>
      </c>
      <c r="B22" s="87" t="s">
        <v>231</v>
      </c>
      <c r="C22" s="14">
        <v>0</v>
      </c>
      <c r="D22" s="1218"/>
      <c r="E22" s="1218"/>
      <c r="F22" s="84"/>
      <c r="G22" s="85"/>
      <c r="H22" s="72"/>
    </row>
    <row r="23" spans="1:8">
      <c r="A23" s="1222"/>
      <c r="B23" s="1223"/>
      <c r="C23" s="1224"/>
      <c r="D23" s="1224"/>
      <c r="E23" s="1224"/>
      <c r="F23" s="1224"/>
      <c r="G23" s="1225"/>
      <c r="H23" s="80"/>
    </row>
    <row r="24" spans="1:8" ht="13.5">
      <c r="A24" s="1226" t="s">
        <v>360</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14</v>
      </c>
      <c r="D26" s="1218"/>
      <c r="E26" s="1218"/>
      <c r="F26" s="84"/>
      <c r="G26" s="85"/>
      <c r="H26" s="72"/>
    </row>
    <row r="27" spans="1:8">
      <c r="A27" s="8" t="s">
        <v>3</v>
      </c>
      <c r="B27" s="12" t="s">
        <v>4</v>
      </c>
      <c r="C27" s="15">
        <v>13</v>
      </c>
      <c r="D27" s="1218" t="s">
        <v>413</v>
      </c>
      <c r="E27" s="1218"/>
      <c r="F27" s="84"/>
      <c r="G27" s="85"/>
      <c r="H27" s="72"/>
    </row>
    <row r="28" spans="1:8">
      <c r="A28" s="11" t="s">
        <v>5</v>
      </c>
      <c r="B28" s="12" t="s">
        <v>144</v>
      </c>
      <c r="C28" s="15">
        <v>1</v>
      </c>
      <c r="D28" s="1218"/>
      <c r="E28" s="1218"/>
      <c r="F28" s="84"/>
      <c r="G28" s="85"/>
      <c r="H28" s="72"/>
    </row>
    <row r="29" spans="1:8">
      <c r="A29" s="8" t="s">
        <v>145</v>
      </c>
      <c r="B29" s="12" t="s">
        <v>146</v>
      </c>
      <c r="C29" s="15">
        <v>0</v>
      </c>
      <c r="D29" s="1220"/>
      <c r="E29" s="1229"/>
      <c r="F29" s="174"/>
      <c r="G29" s="85"/>
      <c r="H29" s="72"/>
    </row>
    <row r="30" spans="1:8">
      <c r="A30" s="8" t="s">
        <v>244</v>
      </c>
      <c r="B30" s="12" t="s">
        <v>245</v>
      </c>
      <c r="C30" s="15">
        <v>0</v>
      </c>
      <c r="D30" s="88"/>
      <c r="E30" s="174"/>
      <c r="F30" s="174"/>
      <c r="G30" s="85"/>
      <c r="H30" s="72"/>
    </row>
    <row r="31" spans="1:8">
      <c r="A31" s="5">
        <v>3</v>
      </c>
      <c r="B31" s="7" t="s">
        <v>14</v>
      </c>
      <c r="C31" s="50">
        <f>SUM(C32:C34)</f>
        <v>22</v>
      </c>
      <c r="D31" s="1218"/>
      <c r="E31" s="1218"/>
      <c r="F31" s="84"/>
      <c r="G31" s="85"/>
      <c r="H31" s="72"/>
    </row>
    <row r="32" spans="1:8">
      <c r="A32" s="8" t="s">
        <v>6</v>
      </c>
      <c r="B32" s="12" t="s">
        <v>7</v>
      </c>
      <c r="C32" s="15">
        <v>16</v>
      </c>
      <c r="D32" s="1218" t="s">
        <v>414</v>
      </c>
      <c r="E32" s="1218"/>
      <c r="F32" s="84"/>
      <c r="G32" s="85"/>
      <c r="H32" s="72"/>
    </row>
    <row r="33" spans="1:8">
      <c r="A33" s="11" t="s">
        <v>12</v>
      </c>
      <c r="B33" s="12" t="s">
        <v>15</v>
      </c>
      <c r="C33" s="15">
        <v>3</v>
      </c>
      <c r="D33" s="1218"/>
      <c r="E33" s="1218"/>
      <c r="F33" s="84"/>
      <c r="G33" s="85"/>
      <c r="H33" s="72"/>
    </row>
    <row r="34" spans="1:8">
      <c r="A34" s="11" t="s">
        <v>13</v>
      </c>
      <c r="B34" s="12" t="s">
        <v>148</v>
      </c>
      <c r="C34" s="15">
        <v>3</v>
      </c>
      <c r="D34" s="1218"/>
      <c r="E34" s="1218"/>
      <c r="F34" s="84"/>
      <c r="G34" s="85"/>
      <c r="H34" s="72"/>
    </row>
    <row r="35" spans="1:8">
      <c r="A35" s="5">
        <v>4</v>
      </c>
      <c r="B35" s="16" t="s">
        <v>17</v>
      </c>
      <c r="C35" s="15"/>
      <c r="D35" s="1218"/>
      <c r="E35" s="1218"/>
      <c r="F35" s="84"/>
      <c r="G35" s="85"/>
      <c r="H35" s="72"/>
    </row>
    <row r="36" spans="1:8">
      <c r="A36" s="11" t="s">
        <v>16</v>
      </c>
      <c r="B36" s="12" t="s">
        <v>84</v>
      </c>
      <c r="C36" s="15">
        <v>1</v>
      </c>
      <c r="D36" s="1218"/>
      <c r="E36" s="1218"/>
      <c r="F36" s="84"/>
      <c r="G36" s="85"/>
      <c r="H36" s="72"/>
    </row>
    <row r="37" spans="1:8" ht="25.5">
      <c r="A37" s="5">
        <v>5</v>
      </c>
      <c r="B37" s="90" t="s">
        <v>26</v>
      </c>
      <c r="C37" s="15">
        <v>33</v>
      </c>
      <c r="D37" s="1218" t="s">
        <v>415</v>
      </c>
      <c r="E37" s="1218"/>
      <c r="F37" s="84"/>
      <c r="G37" s="85"/>
      <c r="H37" s="72"/>
    </row>
    <row r="38" spans="1:8">
      <c r="A38" s="17" t="s">
        <v>147</v>
      </c>
      <c r="B38" s="16" t="s">
        <v>150</v>
      </c>
      <c r="C38" s="15">
        <v>0.21</v>
      </c>
      <c r="D38" s="1219"/>
      <c r="E38" s="1219"/>
      <c r="F38" s="81"/>
      <c r="G38" s="85"/>
      <c r="H38" s="72"/>
    </row>
    <row r="39" spans="1:8">
      <c r="A39" s="5">
        <v>6</v>
      </c>
      <c r="B39" s="7" t="s">
        <v>85</v>
      </c>
      <c r="C39" s="50">
        <f>SUM(C26+C31+C35+C37)</f>
        <v>69</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93">
        <f>SUM(C45:C47)</f>
        <v>935347.76</v>
      </c>
      <c r="D44" s="1218"/>
      <c r="E44" s="1218"/>
      <c r="F44" s="84"/>
      <c r="G44" s="85"/>
      <c r="H44" s="72"/>
    </row>
    <row r="45" spans="1:8">
      <c r="A45" s="8" t="s">
        <v>11</v>
      </c>
      <c r="B45" s="12" t="s">
        <v>19</v>
      </c>
      <c r="C45" s="55">
        <v>810086.31</v>
      </c>
      <c r="D45" s="1218" t="s">
        <v>416</v>
      </c>
      <c r="E45" s="1218"/>
      <c r="F45" s="84"/>
      <c r="G45" s="85"/>
      <c r="H45" s="72"/>
    </row>
    <row r="46" spans="1:8">
      <c r="A46" s="11" t="s">
        <v>18</v>
      </c>
      <c r="B46" s="12" t="s">
        <v>151</v>
      </c>
      <c r="C46" s="55">
        <v>125261.45</v>
      </c>
      <c r="D46" s="1218"/>
      <c r="E46" s="1218"/>
      <c r="F46" s="84"/>
      <c r="G46" s="85"/>
      <c r="H46" s="72"/>
    </row>
    <row r="47" spans="1:8">
      <c r="A47" s="8" t="s">
        <v>247</v>
      </c>
      <c r="B47" s="12" t="s">
        <v>248</v>
      </c>
      <c r="C47" s="59">
        <v>0</v>
      </c>
      <c r="D47" s="84"/>
      <c r="E47" s="84"/>
      <c r="F47" s="84"/>
      <c r="G47" s="85"/>
      <c r="H47" s="72"/>
    </row>
    <row r="48" spans="1:8">
      <c r="A48" s="5">
        <v>8</v>
      </c>
      <c r="B48" s="7" t="s">
        <v>109</v>
      </c>
      <c r="C48" s="93">
        <f>SUM(C49:C51)</f>
        <v>928936.24</v>
      </c>
      <c r="D48" s="1218"/>
      <c r="E48" s="1218"/>
      <c r="F48" s="84"/>
      <c r="G48" s="85"/>
      <c r="H48" s="72"/>
    </row>
    <row r="49" spans="1:8">
      <c r="A49" s="19" t="s">
        <v>20</v>
      </c>
      <c r="B49" s="20" t="s">
        <v>23</v>
      </c>
      <c r="C49" s="55">
        <v>658127.24</v>
      </c>
      <c r="D49" s="1218" t="s">
        <v>417</v>
      </c>
      <c r="E49" s="1218"/>
      <c r="F49" s="84"/>
      <c r="G49" s="85"/>
      <c r="H49" s="72"/>
    </row>
    <row r="50" spans="1:8">
      <c r="A50" s="11" t="s">
        <v>21</v>
      </c>
      <c r="B50" s="12" t="s">
        <v>24</v>
      </c>
      <c r="C50" s="55">
        <v>117361</v>
      </c>
      <c r="D50" s="1218" t="s">
        <v>418</v>
      </c>
      <c r="E50" s="1218"/>
      <c r="F50" s="84"/>
      <c r="G50" s="85"/>
      <c r="H50" s="72"/>
    </row>
    <row r="51" spans="1:8">
      <c r="A51" s="11" t="s">
        <v>22</v>
      </c>
      <c r="B51" s="12" t="s">
        <v>25</v>
      </c>
      <c r="C51" s="55">
        <v>153448</v>
      </c>
      <c r="D51" s="1218" t="s">
        <v>418</v>
      </c>
      <c r="E51" s="1218"/>
      <c r="F51" s="84"/>
      <c r="G51" s="85"/>
      <c r="H51" s="72"/>
    </row>
    <row r="52" spans="1:8" ht="25.5">
      <c r="A52" s="21">
        <v>9</v>
      </c>
      <c r="B52" s="22" t="s">
        <v>27</v>
      </c>
      <c r="C52" s="56">
        <v>172991</v>
      </c>
      <c r="D52" s="1218"/>
      <c r="E52" s="1218"/>
      <c r="F52" s="84"/>
      <c r="G52" s="85"/>
      <c r="H52" s="72"/>
    </row>
    <row r="53" spans="1:8">
      <c r="A53" s="21">
        <v>10</v>
      </c>
      <c r="B53" s="22" t="s">
        <v>249</v>
      </c>
      <c r="C53" s="56">
        <f>SUM(C44+C48+C52)</f>
        <v>2037275</v>
      </c>
      <c r="D53" s="88"/>
      <c r="E53" s="94"/>
      <c r="F53" s="94"/>
      <c r="G53" s="85"/>
      <c r="H53" s="72"/>
    </row>
    <row r="54" spans="1:8">
      <c r="A54" s="21"/>
      <c r="B54" s="22"/>
      <c r="C54" s="55"/>
      <c r="D54" s="1220"/>
      <c r="E54" s="1221"/>
      <c r="F54" s="94"/>
      <c r="G54" s="85"/>
      <c r="H54" s="72"/>
    </row>
    <row r="55" spans="1:8">
      <c r="A55" s="95"/>
      <c r="B55" s="92" t="s">
        <v>250</v>
      </c>
      <c r="C55" s="96"/>
      <c r="D55" s="1219"/>
      <c r="E55" s="1218"/>
      <c r="F55" s="84"/>
      <c r="G55" s="85"/>
      <c r="H55" s="72"/>
    </row>
    <row r="56" spans="1:8" ht="25.5">
      <c r="A56" s="97">
        <v>11</v>
      </c>
      <c r="B56" s="98" t="s">
        <v>251</v>
      </c>
      <c r="C56" s="99">
        <f>SUM(C57:C59)</f>
        <v>181340.53</v>
      </c>
      <c r="D56" s="1218"/>
      <c r="E56" s="1218"/>
      <c r="F56" s="84"/>
      <c r="G56" s="85"/>
      <c r="H56" s="72"/>
    </row>
    <row r="57" spans="1:8">
      <c r="A57" s="100" t="s">
        <v>30</v>
      </c>
      <c r="B57" s="101" t="s">
        <v>28</v>
      </c>
      <c r="C57" s="55">
        <v>78192</v>
      </c>
      <c r="D57" s="1218"/>
      <c r="E57" s="1218"/>
      <c r="F57" s="84"/>
      <c r="G57" s="85"/>
      <c r="H57" s="72"/>
    </row>
    <row r="58" spans="1:8">
      <c r="A58" s="100" t="s">
        <v>32</v>
      </c>
      <c r="B58" s="101" t="s">
        <v>363</v>
      </c>
      <c r="C58" s="55">
        <v>6892</v>
      </c>
      <c r="D58" s="1218"/>
      <c r="E58" s="1218"/>
      <c r="F58" s="84"/>
      <c r="G58" s="85"/>
      <c r="H58" s="72"/>
    </row>
    <row r="59" spans="1:8">
      <c r="A59" s="100" t="s">
        <v>34</v>
      </c>
      <c r="B59" s="101" t="s">
        <v>29</v>
      </c>
      <c r="C59" s="55">
        <v>96256.53</v>
      </c>
      <c r="D59" s="1218"/>
      <c r="E59" s="1218"/>
      <c r="F59" s="84"/>
      <c r="G59" s="85"/>
      <c r="H59" s="72"/>
    </row>
    <row r="60" spans="1:8" ht="38.25">
      <c r="A60" s="97">
        <v>12</v>
      </c>
      <c r="B60" s="98" t="s">
        <v>252</v>
      </c>
      <c r="C60" s="57">
        <v>639201</v>
      </c>
      <c r="D60" s="1218"/>
      <c r="E60" s="1218"/>
      <c r="F60" s="84"/>
      <c r="G60" s="85"/>
      <c r="H60" s="72"/>
    </row>
    <row r="61" spans="1:8">
      <c r="A61" s="100" t="s">
        <v>36</v>
      </c>
      <c r="B61" s="101" t="s">
        <v>31</v>
      </c>
      <c r="C61" s="55">
        <v>251914</v>
      </c>
      <c r="D61" s="1218"/>
      <c r="E61" s="1218"/>
      <c r="F61" s="84"/>
      <c r="G61" s="85"/>
      <c r="H61" s="72"/>
    </row>
    <row r="62" spans="1:8">
      <c r="A62" s="100" t="s">
        <v>38</v>
      </c>
      <c r="B62" s="101" t="s">
        <v>206</v>
      </c>
      <c r="C62" s="55">
        <v>328832</v>
      </c>
      <c r="D62" s="1218"/>
      <c r="E62" s="1218"/>
      <c r="F62" s="84"/>
      <c r="G62" s="85"/>
      <c r="H62" s="72"/>
    </row>
    <row r="63" spans="1:8">
      <c r="A63" s="100" t="s">
        <v>253</v>
      </c>
      <c r="B63" s="101" t="s">
        <v>33</v>
      </c>
      <c r="C63" s="55">
        <v>35694.03</v>
      </c>
      <c r="D63" s="1218"/>
      <c r="E63" s="1218"/>
      <c r="F63" s="84"/>
      <c r="G63" s="85"/>
      <c r="H63" s="72"/>
    </row>
    <row r="64" spans="1:8">
      <c r="A64" s="100" t="s">
        <v>39</v>
      </c>
      <c r="B64" s="101" t="s">
        <v>35</v>
      </c>
      <c r="C64" s="55">
        <v>20896</v>
      </c>
      <c r="D64" s="1218"/>
      <c r="E64" s="1218"/>
      <c r="F64" s="84"/>
      <c r="G64" s="85"/>
      <c r="H64" s="72"/>
    </row>
    <row r="65" spans="1:8">
      <c r="A65" s="102" t="s">
        <v>254</v>
      </c>
      <c r="B65" s="101" t="s">
        <v>153</v>
      </c>
      <c r="C65" s="55">
        <v>870</v>
      </c>
      <c r="D65" s="1218"/>
      <c r="E65" s="1218"/>
      <c r="F65" s="84"/>
      <c r="G65" s="85"/>
      <c r="H65" s="72"/>
    </row>
    <row r="66" spans="1:8">
      <c r="A66" s="102" t="s">
        <v>255</v>
      </c>
      <c r="B66" s="103" t="s">
        <v>216</v>
      </c>
      <c r="C66" s="55">
        <v>995</v>
      </c>
      <c r="D66" s="1218"/>
      <c r="E66" s="1218"/>
      <c r="F66" s="84"/>
      <c r="G66" s="85"/>
      <c r="H66" s="72"/>
    </row>
    <row r="67" spans="1:8">
      <c r="A67" s="97">
        <v>13</v>
      </c>
      <c r="B67" s="104" t="s">
        <v>256</v>
      </c>
      <c r="C67" s="57">
        <f>SUM(C68:C69)</f>
        <v>7744</v>
      </c>
      <c r="D67" s="1218"/>
      <c r="E67" s="1218"/>
      <c r="F67" s="84"/>
      <c r="G67" s="85"/>
      <c r="H67" s="72"/>
    </row>
    <row r="68" spans="1:8">
      <c r="A68" s="100" t="s">
        <v>156</v>
      </c>
      <c r="B68" s="103" t="s">
        <v>40</v>
      </c>
      <c r="C68" s="55">
        <v>2398</v>
      </c>
      <c r="D68" s="1218"/>
      <c r="E68" s="1218"/>
      <c r="F68" s="84"/>
      <c r="G68" s="85"/>
      <c r="H68" s="72"/>
    </row>
    <row r="69" spans="1:8">
      <c r="A69" s="100" t="s">
        <v>157</v>
      </c>
      <c r="B69" s="103" t="s">
        <v>41</v>
      </c>
      <c r="C69" s="55">
        <v>5346</v>
      </c>
      <c r="D69" s="1218"/>
      <c r="E69" s="1218"/>
      <c r="F69" s="84"/>
      <c r="G69" s="85"/>
      <c r="H69" s="72"/>
    </row>
    <row r="70" spans="1:8">
      <c r="A70" s="95">
        <v>14</v>
      </c>
      <c r="B70" s="82" t="s">
        <v>257</v>
      </c>
      <c r="C70" s="57">
        <v>0</v>
      </c>
      <c r="D70" s="1218"/>
      <c r="E70" s="1218"/>
      <c r="F70" s="84"/>
      <c r="G70" s="85"/>
      <c r="H70" s="72"/>
    </row>
    <row r="71" spans="1:8">
      <c r="A71" s="105" t="s">
        <v>42</v>
      </c>
      <c r="B71" s="106" t="s">
        <v>155</v>
      </c>
      <c r="C71" s="55">
        <v>0</v>
      </c>
      <c r="D71" s="1219"/>
      <c r="E71" s="1219"/>
      <c r="F71" s="81"/>
      <c r="G71" s="85"/>
      <c r="H71" s="72"/>
    </row>
    <row r="72" spans="1:8">
      <c r="A72" s="105" t="s">
        <v>43</v>
      </c>
      <c r="B72" s="107" t="s">
        <v>258</v>
      </c>
      <c r="C72" s="55">
        <v>0</v>
      </c>
      <c r="D72" s="81"/>
      <c r="E72" s="81"/>
      <c r="F72" s="81"/>
      <c r="G72" s="85"/>
      <c r="H72" s="72"/>
    </row>
    <row r="73" spans="1:8">
      <c r="A73" s="105" t="s">
        <v>45</v>
      </c>
      <c r="B73" s="108" t="s">
        <v>44</v>
      </c>
      <c r="C73" s="55">
        <v>0</v>
      </c>
      <c r="D73" s="1218"/>
      <c r="E73" s="1218"/>
      <c r="F73" s="84"/>
      <c r="G73" s="85"/>
      <c r="H73" s="72"/>
    </row>
    <row r="74" spans="1:8">
      <c r="A74" s="105" t="s">
        <v>154</v>
      </c>
      <c r="B74" s="108" t="s">
        <v>46</v>
      </c>
      <c r="C74" s="55">
        <v>0</v>
      </c>
      <c r="D74" s="1218"/>
      <c r="E74" s="1218"/>
      <c r="F74" s="84"/>
      <c r="G74" s="85"/>
      <c r="H74" s="72"/>
    </row>
    <row r="75" spans="1:8">
      <c r="A75" s="109" t="s">
        <v>259</v>
      </c>
      <c r="B75" s="108" t="s">
        <v>104</v>
      </c>
      <c r="C75" s="55"/>
      <c r="D75" s="1218"/>
      <c r="E75" s="1218"/>
      <c r="F75" s="84"/>
      <c r="G75" s="85"/>
      <c r="H75" s="72"/>
    </row>
    <row r="76" spans="1:8">
      <c r="A76" s="110">
        <v>15</v>
      </c>
      <c r="B76" s="82" t="s">
        <v>260</v>
      </c>
      <c r="C76" s="58">
        <f>SUM(C56,C60,C67,C70)</f>
        <v>828285.53</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c r="A80" s="95">
        <v>16</v>
      </c>
      <c r="B80" s="112" t="s">
        <v>262</v>
      </c>
      <c r="C80" s="59">
        <f>SUM(C81:C85)</f>
        <v>5758.2800000000007</v>
      </c>
      <c r="D80" s="84"/>
      <c r="E80" s="84"/>
      <c r="F80" s="84"/>
      <c r="G80" s="85"/>
      <c r="H80" s="72"/>
    </row>
    <row r="81" spans="1:8">
      <c r="A81" s="109" t="s">
        <v>263</v>
      </c>
      <c r="B81" s="85" t="s">
        <v>264</v>
      </c>
      <c r="C81" s="55">
        <v>3000</v>
      </c>
      <c r="D81" s="84" t="s">
        <v>419</v>
      </c>
      <c r="E81" s="84"/>
      <c r="F81" s="84"/>
      <c r="G81" s="85"/>
      <c r="H81" s="72"/>
    </row>
    <row r="82" spans="1:8" ht="25.5">
      <c r="A82" s="109" t="s">
        <v>192</v>
      </c>
      <c r="B82" s="113" t="s">
        <v>207</v>
      </c>
      <c r="C82" s="55">
        <v>40</v>
      </c>
      <c r="D82" s="84"/>
      <c r="E82" s="84"/>
      <c r="F82" s="84"/>
      <c r="G82" s="85"/>
      <c r="H82" s="72"/>
    </row>
    <row r="83" spans="1:8">
      <c r="A83" s="109" t="s">
        <v>193</v>
      </c>
      <c r="B83" s="85" t="s">
        <v>158</v>
      </c>
      <c r="C83" s="55">
        <v>160</v>
      </c>
      <c r="D83" s="84"/>
      <c r="E83" s="84"/>
      <c r="F83" s="84"/>
      <c r="G83" s="85"/>
      <c r="H83" s="72"/>
    </row>
    <row r="84" spans="1:8">
      <c r="A84" s="109" t="s">
        <v>265</v>
      </c>
      <c r="B84" s="85" t="s">
        <v>159</v>
      </c>
      <c r="C84" s="55">
        <v>0</v>
      </c>
      <c r="D84" s="84"/>
      <c r="E84" s="84"/>
      <c r="F84" s="84"/>
      <c r="G84" s="85"/>
      <c r="H84" s="72"/>
    </row>
    <row r="85" spans="1:8">
      <c r="A85" s="109" t="s">
        <v>266</v>
      </c>
      <c r="B85" s="85" t="s">
        <v>160</v>
      </c>
      <c r="C85" s="55">
        <v>2558.2800000000002</v>
      </c>
      <c r="D85" s="84"/>
      <c r="E85" s="84"/>
      <c r="F85" s="84"/>
      <c r="G85" s="85"/>
      <c r="H85" s="72"/>
    </row>
    <row r="86" spans="1:8">
      <c r="A86" s="110">
        <v>17</v>
      </c>
      <c r="B86" s="111" t="s">
        <v>191</v>
      </c>
      <c r="C86" s="59"/>
      <c r="D86" s="1218"/>
      <c r="E86" s="1218"/>
      <c r="F86" s="84"/>
      <c r="G86" s="82"/>
      <c r="H86" s="83"/>
    </row>
    <row r="87" spans="1:8">
      <c r="A87" s="110">
        <v>18</v>
      </c>
      <c r="B87" s="82" t="s">
        <v>267</v>
      </c>
      <c r="C87" s="57">
        <f>SUM(C88:C90)</f>
        <v>12415.38</v>
      </c>
      <c r="D87" s="1218"/>
      <c r="E87" s="1218"/>
      <c r="F87" s="84"/>
      <c r="G87" s="85"/>
      <c r="H87" s="72"/>
    </row>
    <row r="88" spans="1:8">
      <c r="A88" s="105" t="s">
        <v>268</v>
      </c>
      <c r="B88" s="114" t="s">
        <v>47</v>
      </c>
      <c r="C88" s="55">
        <v>1728.41</v>
      </c>
      <c r="D88" s="1218"/>
      <c r="E88" s="1218"/>
      <c r="F88" s="84"/>
      <c r="G88" s="85"/>
      <c r="H88" s="72"/>
    </row>
    <row r="89" spans="1:8">
      <c r="A89" s="105" t="s">
        <v>269</v>
      </c>
      <c r="B89" s="114" t="s">
        <v>48</v>
      </c>
      <c r="C89" s="55">
        <v>10686.97</v>
      </c>
      <c r="D89" s="1218" t="s">
        <v>420</v>
      </c>
      <c r="E89" s="1218"/>
      <c r="F89" s="84"/>
      <c r="G89" s="85"/>
      <c r="H89" s="72"/>
    </row>
    <row r="90" spans="1:8">
      <c r="A90" s="105" t="s">
        <v>270</v>
      </c>
      <c r="B90" s="114" t="s">
        <v>105</v>
      </c>
      <c r="C90" s="96">
        <v>0</v>
      </c>
      <c r="D90" s="1218"/>
      <c r="E90" s="1218"/>
      <c r="F90" s="84"/>
      <c r="G90" s="85"/>
      <c r="H90" s="72"/>
    </row>
    <row r="91" spans="1:8">
      <c r="A91" s="110">
        <v>19</v>
      </c>
      <c r="B91" s="85" t="s">
        <v>205</v>
      </c>
      <c r="C91" s="96">
        <v>62054.32</v>
      </c>
      <c r="D91" s="1218"/>
      <c r="E91" s="1218"/>
      <c r="F91" s="84"/>
      <c r="G91" s="85"/>
      <c r="H91" s="72"/>
    </row>
    <row r="92" spans="1:8" ht="38.25">
      <c r="A92" s="110">
        <v>20</v>
      </c>
      <c r="B92" s="113" t="s">
        <v>106</v>
      </c>
      <c r="C92" s="96">
        <v>149636.29999999999</v>
      </c>
      <c r="D92" s="1218"/>
      <c r="E92" s="1218"/>
      <c r="F92" s="84"/>
      <c r="G92" s="85"/>
      <c r="H92" s="72"/>
    </row>
    <row r="93" spans="1:8">
      <c r="A93" s="110">
        <v>21</v>
      </c>
      <c r="B93" s="85" t="s">
        <v>103</v>
      </c>
      <c r="C93" s="96">
        <v>97970.15</v>
      </c>
      <c r="D93" s="1218" t="s">
        <v>421</v>
      </c>
      <c r="E93" s="1218"/>
      <c r="F93" s="84"/>
      <c r="G93" s="85"/>
      <c r="H93" s="72"/>
    </row>
    <row r="94" spans="1:8" ht="25.5">
      <c r="A94" s="110">
        <v>22</v>
      </c>
      <c r="B94" s="113" t="s">
        <v>107</v>
      </c>
      <c r="C94" s="115">
        <v>173375.85</v>
      </c>
      <c r="D94" s="1218" t="s">
        <v>422</v>
      </c>
      <c r="E94" s="1218"/>
      <c r="F94" s="116"/>
      <c r="G94" s="117"/>
      <c r="H94" s="80"/>
    </row>
    <row r="95" spans="1:8" ht="25.5">
      <c r="A95" s="110">
        <v>23</v>
      </c>
      <c r="B95" s="113" t="s">
        <v>271</v>
      </c>
      <c r="C95" s="118">
        <f>SUM(C53,C76,C80,C86,C87,C91,C92,C93,C94,C88,C89)</f>
        <v>3379186.19</v>
      </c>
      <c r="D95" s="1218"/>
      <c r="E95" s="1218"/>
      <c r="F95" s="84"/>
      <c r="G95" s="85"/>
      <c r="H95" s="72"/>
    </row>
    <row r="96" spans="1:8">
      <c r="A96" s="109" t="s">
        <v>108</v>
      </c>
      <c r="B96" s="114" t="s">
        <v>49</v>
      </c>
      <c r="C96" s="96">
        <v>0</v>
      </c>
      <c r="D96" s="1218"/>
      <c r="E96" s="1218"/>
      <c r="F96" s="84"/>
      <c r="G96" s="85"/>
      <c r="H96" s="72"/>
    </row>
    <row r="97" spans="1:8" ht="15">
      <c r="A97" s="110">
        <v>24</v>
      </c>
      <c r="B97" s="85" t="s">
        <v>272</v>
      </c>
      <c r="C97" s="119">
        <f>SUM(C95,C96)</f>
        <v>3379186.19</v>
      </c>
      <c r="D97" s="1218"/>
      <c r="E97" s="1218"/>
      <c r="F97" s="84"/>
      <c r="G97" s="85"/>
      <c r="H97" s="72"/>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7783</v>
      </c>
      <c r="D103" s="51">
        <f>SUM(D104,D107:D110)</f>
        <v>1514</v>
      </c>
      <c r="E103" s="34">
        <v>722083</v>
      </c>
      <c r="F103" s="34"/>
      <c r="G103" s="10" t="s">
        <v>423</v>
      </c>
      <c r="H103" s="3"/>
    </row>
    <row r="104" spans="1:8">
      <c r="A104" s="25" t="s">
        <v>91</v>
      </c>
      <c r="B104" s="13" t="s">
        <v>53</v>
      </c>
      <c r="C104" s="51">
        <f>SUM(C105:C106)</f>
        <v>4557</v>
      </c>
      <c r="D104" s="51">
        <v>1378</v>
      </c>
      <c r="E104" s="34">
        <v>682907</v>
      </c>
      <c r="F104" s="34"/>
      <c r="G104" s="10"/>
      <c r="H104" s="3"/>
    </row>
    <row r="105" spans="1:8">
      <c r="A105" s="25" t="s">
        <v>194</v>
      </c>
      <c r="B105" s="35" t="s">
        <v>54</v>
      </c>
      <c r="C105" s="34">
        <v>3160</v>
      </c>
      <c r="D105" s="25" t="s">
        <v>380</v>
      </c>
      <c r="E105" s="34" t="s">
        <v>201</v>
      </c>
      <c r="F105" s="34"/>
      <c r="G105" s="10"/>
      <c r="H105" s="3"/>
    </row>
    <row r="106" spans="1:8">
      <c r="A106" s="25" t="s">
        <v>195</v>
      </c>
      <c r="B106" s="35" t="s">
        <v>55</v>
      </c>
      <c r="C106" s="34">
        <v>1397</v>
      </c>
      <c r="D106" s="25" t="s">
        <v>380</v>
      </c>
      <c r="E106" s="34" t="s">
        <v>201</v>
      </c>
      <c r="F106" s="34"/>
      <c r="G106" s="10"/>
      <c r="H106" s="3"/>
    </row>
    <row r="107" spans="1:8">
      <c r="A107" s="25" t="s">
        <v>93</v>
      </c>
      <c r="B107" s="13" t="s">
        <v>56</v>
      </c>
      <c r="C107" s="34">
        <v>1737</v>
      </c>
      <c r="D107" s="34">
        <v>95</v>
      </c>
      <c r="E107" s="34">
        <v>6645</v>
      </c>
      <c r="F107" s="34"/>
      <c r="G107" s="10" t="s">
        <v>424</v>
      </c>
      <c r="H107" s="3"/>
    </row>
    <row r="108" spans="1:8">
      <c r="A108" s="25" t="s">
        <v>275</v>
      </c>
      <c r="B108" s="13" t="s">
        <v>57</v>
      </c>
      <c r="C108" s="34">
        <v>589</v>
      </c>
      <c r="D108" s="34">
        <v>0</v>
      </c>
      <c r="E108" s="34">
        <v>24173</v>
      </c>
      <c r="F108" s="34"/>
      <c r="G108" s="10"/>
      <c r="H108" s="3"/>
    </row>
    <row r="109" spans="1:8">
      <c r="A109" s="25" t="s">
        <v>276</v>
      </c>
      <c r="B109" s="13" t="s">
        <v>58</v>
      </c>
      <c r="C109" s="34">
        <v>70</v>
      </c>
      <c r="D109" s="34">
        <v>41</v>
      </c>
      <c r="E109" s="34">
        <v>7528</v>
      </c>
      <c r="F109" s="34"/>
      <c r="G109" s="10"/>
      <c r="H109" s="3"/>
    </row>
    <row r="110" spans="1:8">
      <c r="A110" s="27" t="s">
        <v>277</v>
      </c>
      <c r="B110" s="13" t="s">
        <v>139</v>
      </c>
      <c r="C110" s="52">
        <v>830</v>
      </c>
      <c r="D110" s="51" t="s">
        <v>380</v>
      </c>
      <c r="E110" s="34" t="s">
        <v>380</v>
      </c>
      <c r="F110" s="34"/>
      <c r="G110" s="10"/>
      <c r="H110" s="3"/>
    </row>
    <row r="111" spans="1:8">
      <c r="A111" s="30">
        <v>26</v>
      </c>
      <c r="B111" s="18" t="s">
        <v>278</v>
      </c>
      <c r="C111" s="34">
        <f>SUM(C112,C113)</f>
        <v>62612</v>
      </c>
      <c r="D111" s="34"/>
      <c r="E111" s="34"/>
      <c r="F111" s="34"/>
      <c r="G111" s="10"/>
      <c r="H111" s="3"/>
    </row>
    <row r="112" spans="1:8">
      <c r="A112" s="25" t="s">
        <v>92</v>
      </c>
      <c r="B112" s="13" t="s">
        <v>59</v>
      </c>
      <c r="C112" s="34">
        <v>9924</v>
      </c>
      <c r="D112" s="34"/>
      <c r="E112" s="34"/>
      <c r="F112" s="34"/>
      <c r="G112" s="10" t="s">
        <v>425</v>
      </c>
      <c r="H112" s="3"/>
    </row>
    <row r="113" spans="1:8">
      <c r="A113" s="27" t="s">
        <v>94</v>
      </c>
      <c r="B113" s="13" t="s">
        <v>164</v>
      </c>
      <c r="C113" s="34">
        <v>52688</v>
      </c>
      <c r="D113" s="34"/>
      <c r="E113" s="34"/>
      <c r="F113" s="34"/>
      <c r="G113" s="10" t="s">
        <v>425</v>
      </c>
      <c r="H113" s="3"/>
    </row>
    <row r="114" spans="1:8">
      <c r="A114" s="25"/>
      <c r="B114" s="13"/>
      <c r="C114" s="34"/>
      <c r="D114" s="34"/>
      <c r="E114" s="34"/>
      <c r="F114" s="34"/>
      <c r="G114" s="10"/>
      <c r="H114" s="3"/>
    </row>
    <row r="115" spans="1:8" ht="38.25">
      <c r="A115" s="36">
        <v>27</v>
      </c>
      <c r="B115" s="33" t="s">
        <v>279</v>
      </c>
      <c r="C115" s="51">
        <f>SUM(C116+C119)</f>
        <v>30833</v>
      </c>
      <c r="D115" s="51">
        <f>SUM(D116+D119)</f>
        <v>0</v>
      </c>
      <c r="E115" s="34"/>
      <c r="F115" s="34"/>
      <c r="G115" s="10"/>
      <c r="H115" s="3"/>
    </row>
    <row r="116" spans="1:8" ht="25.5">
      <c r="A116" s="30" t="s">
        <v>196</v>
      </c>
      <c r="B116" s="126" t="s">
        <v>280</v>
      </c>
      <c r="C116" s="52">
        <v>21603</v>
      </c>
      <c r="D116" s="52">
        <f>SUM(D117:D118)</f>
        <v>0</v>
      </c>
      <c r="E116" s="25"/>
      <c r="F116" s="25"/>
      <c r="G116" s="10"/>
      <c r="H116" s="3"/>
    </row>
    <row r="117" spans="1:8">
      <c r="A117" s="25" t="s">
        <v>281</v>
      </c>
      <c r="B117" s="35" t="s">
        <v>124</v>
      </c>
      <c r="C117" s="25">
        <v>275</v>
      </c>
      <c r="D117" s="25"/>
      <c r="E117" s="25"/>
      <c r="F117" s="25"/>
      <c r="G117" s="10" t="s">
        <v>426</v>
      </c>
      <c r="H117" s="3"/>
    </row>
    <row r="118" spans="1:8">
      <c r="A118" s="25" t="s">
        <v>282</v>
      </c>
      <c r="B118" s="35" t="s">
        <v>125</v>
      </c>
      <c r="C118" s="25">
        <v>21328</v>
      </c>
      <c r="D118" s="25"/>
      <c r="E118" s="25"/>
      <c r="F118" s="25"/>
      <c r="G118" s="10" t="s">
        <v>427</v>
      </c>
      <c r="H118" s="3"/>
    </row>
    <row r="119" spans="1:8" ht="25.5">
      <c r="A119" s="30" t="s">
        <v>283</v>
      </c>
      <c r="B119" s="126" t="s">
        <v>284</v>
      </c>
      <c r="C119" s="52">
        <f>SUM(C120:C122)</f>
        <v>9230</v>
      </c>
      <c r="D119" s="52">
        <f>SUM(D120:D122)</f>
        <v>0</v>
      </c>
      <c r="E119" s="25"/>
      <c r="F119" s="25"/>
      <c r="G119" s="10"/>
      <c r="H119" s="3"/>
    </row>
    <row r="120" spans="1:8">
      <c r="A120" s="25" t="s">
        <v>285</v>
      </c>
      <c r="B120" s="35" t="s">
        <v>126</v>
      </c>
      <c r="C120" s="25">
        <v>94</v>
      </c>
      <c r="D120" s="25"/>
      <c r="E120" s="25"/>
      <c r="F120" s="25"/>
      <c r="G120" s="10"/>
      <c r="H120" s="3"/>
    </row>
    <row r="121" spans="1:8">
      <c r="A121" s="27" t="s">
        <v>286</v>
      </c>
      <c r="B121" s="35" t="s">
        <v>287</v>
      </c>
      <c r="C121" s="25">
        <v>4932</v>
      </c>
      <c r="D121" s="25"/>
      <c r="E121" s="25"/>
      <c r="F121" s="25"/>
      <c r="G121" s="10" t="s">
        <v>428</v>
      </c>
      <c r="H121" s="3"/>
    </row>
    <row r="122" spans="1:8">
      <c r="A122" s="25" t="s">
        <v>288</v>
      </c>
      <c r="B122" s="35" t="s">
        <v>218</v>
      </c>
      <c r="C122" s="25">
        <v>4204</v>
      </c>
      <c r="D122" s="25"/>
      <c r="E122" s="25"/>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252</v>
      </c>
      <c r="D125" s="52">
        <f>SUM(D126:D127)</f>
        <v>57</v>
      </c>
      <c r="E125" s="25">
        <v>17273</v>
      </c>
      <c r="F125" s="25"/>
      <c r="G125" s="10"/>
      <c r="H125" s="3"/>
    </row>
    <row r="126" spans="1:8">
      <c r="A126" s="25" t="s">
        <v>127</v>
      </c>
      <c r="B126" s="24" t="s">
        <v>40</v>
      </c>
      <c r="C126" s="25">
        <v>37</v>
      </c>
      <c r="D126" s="25">
        <v>6</v>
      </c>
      <c r="E126" s="25">
        <v>10932</v>
      </c>
      <c r="F126" s="25"/>
      <c r="G126" s="10" t="s">
        <v>429</v>
      </c>
      <c r="H126" s="3"/>
    </row>
    <row r="127" spans="1:8">
      <c r="A127" s="25" t="s">
        <v>129</v>
      </c>
      <c r="B127" s="24" t="s">
        <v>41</v>
      </c>
      <c r="C127" s="25">
        <v>215</v>
      </c>
      <c r="D127" s="25">
        <v>51</v>
      </c>
      <c r="E127" s="25">
        <v>6341</v>
      </c>
      <c r="F127" s="25"/>
      <c r="G127" s="10" t="s">
        <v>429</v>
      </c>
      <c r="H127" s="3"/>
    </row>
    <row r="128" spans="1:8">
      <c r="A128" s="25"/>
      <c r="C128" s="25"/>
      <c r="D128" s="25"/>
      <c r="E128" s="25"/>
      <c r="F128" s="25"/>
      <c r="G128" s="10"/>
      <c r="H128" s="3"/>
    </row>
    <row r="129" spans="1:8">
      <c r="A129" s="30">
        <v>29</v>
      </c>
      <c r="B129" s="6" t="s">
        <v>290</v>
      </c>
      <c r="C129" s="25"/>
      <c r="D129" s="25"/>
      <c r="E129" s="25"/>
      <c r="F129" s="25"/>
      <c r="G129" s="10"/>
      <c r="H129" s="3"/>
    </row>
    <row r="130" spans="1:8">
      <c r="A130" s="30" t="s">
        <v>165</v>
      </c>
      <c r="B130" s="6" t="s">
        <v>37</v>
      </c>
      <c r="C130" s="25">
        <v>0</v>
      </c>
      <c r="D130" s="25">
        <v>0</v>
      </c>
      <c r="E130" s="25">
        <v>16274</v>
      </c>
      <c r="F130" s="25"/>
      <c r="G130" s="10" t="s">
        <v>429</v>
      </c>
      <c r="H130" s="3"/>
    </row>
    <row r="131" spans="1:8">
      <c r="A131" s="30" t="s">
        <v>166</v>
      </c>
      <c r="B131" s="6" t="s">
        <v>79</v>
      </c>
      <c r="C131" s="25">
        <v>2</v>
      </c>
      <c r="D131" s="25">
        <v>0</v>
      </c>
      <c r="E131" s="25">
        <v>435</v>
      </c>
      <c r="F131" s="25"/>
      <c r="G131" s="10" t="s">
        <v>429</v>
      </c>
      <c r="H131" s="3"/>
    </row>
    <row r="132" spans="1:8">
      <c r="A132" s="30" t="s">
        <v>291</v>
      </c>
      <c r="B132" s="29" t="s">
        <v>222</v>
      </c>
      <c r="C132" s="30"/>
      <c r="D132" s="30"/>
      <c r="E132" s="30"/>
      <c r="F132" s="30"/>
      <c r="G132" s="6"/>
      <c r="H132" s="122"/>
    </row>
    <row r="133" spans="1:8">
      <c r="A133" s="30" t="s">
        <v>292</v>
      </c>
      <c r="B133" s="29" t="s">
        <v>293</v>
      </c>
      <c r="C133" s="30">
        <v>1865</v>
      </c>
      <c r="D133" s="30">
        <v>0</v>
      </c>
      <c r="E133" s="30">
        <v>83265</v>
      </c>
      <c r="F133" s="30"/>
      <c r="G133" s="6"/>
      <c r="H133" s="122"/>
    </row>
    <row r="134" spans="1:8">
      <c r="A134" s="30" t="s">
        <v>294</v>
      </c>
      <c r="B134" s="29" t="s">
        <v>223</v>
      </c>
      <c r="C134" s="30">
        <v>3</v>
      </c>
      <c r="D134" s="30">
        <v>0</v>
      </c>
      <c r="E134" s="30" t="s">
        <v>380</v>
      </c>
      <c r="F134" s="30"/>
      <c r="G134" s="6"/>
      <c r="H134" s="122"/>
    </row>
    <row r="135" spans="1:8">
      <c r="A135" s="30" t="s">
        <v>295</v>
      </c>
      <c r="B135" s="37" t="s">
        <v>224</v>
      </c>
      <c r="C135" s="30">
        <v>1862</v>
      </c>
      <c r="D135" s="30">
        <v>0</v>
      </c>
      <c r="E135" s="30" t="s">
        <v>380</v>
      </c>
      <c r="F135" s="30"/>
      <c r="G135" s="6"/>
      <c r="H135" s="122"/>
    </row>
    <row r="136" spans="1:8">
      <c r="A136" s="30" t="s">
        <v>296</v>
      </c>
      <c r="B136" s="37" t="s">
        <v>225</v>
      </c>
      <c r="C136" s="30">
        <v>0</v>
      </c>
      <c r="D136" s="30">
        <v>0</v>
      </c>
      <c r="E136" s="30" t="s">
        <v>400</v>
      </c>
      <c r="F136" s="30"/>
      <c r="G136" s="6"/>
      <c r="H136" s="122"/>
    </row>
    <row r="137" spans="1:8">
      <c r="A137" s="25"/>
      <c r="B137" s="6" t="s">
        <v>297</v>
      </c>
      <c r="C137" s="25"/>
      <c r="D137" s="25"/>
      <c r="E137" s="25"/>
      <c r="F137" s="25"/>
      <c r="G137" s="10"/>
      <c r="H137" s="3"/>
    </row>
    <row r="138" spans="1:8">
      <c r="A138" s="38" t="s">
        <v>298</v>
      </c>
      <c r="B138" s="37" t="s">
        <v>197</v>
      </c>
      <c r="C138" s="30"/>
      <c r="D138" s="30"/>
      <c r="E138" s="30"/>
      <c r="F138" s="30"/>
      <c r="G138" s="6"/>
      <c r="H138" s="122"/>
    </row>
    <row r="139" spans="1:8">
      <c r="A139" s="38" t="s">
        <v>299</v>
      </c>
      <c r="B139" s="37" t="s">
        <v>198</v>
      </c>
      <c r="C139" s="30"/>
      <c r="D139" s="30"/>
      <c r="E139" s="30"/>
      <c r="F139" s="30"/>
      <c r="G139" s="6"/>
      <c r="H139" s="122"/>
    </row>
    <row r="140" spans="1:8">
      <c r="A140" s="38" t="s">
        <v>300</v>
      </c>
      <c r="B140" s="37" t="s">
        <v>199</v>
      </c>
      <c r="C140" s="30"/>
      <c r="D140" s="30"/>
      <c r="E140" s="30"/>
      <c r="F140" s="30"/>
      <c r="G140" s="6"/>
      <c r="H140" s="122"/>
    </row>
    <row r="141" spans="1:8">
      <c r="A141" s="38" t="s">
        <v>301</v>
      </c>
      <c r="B141" s="37" t="s">
        <v>200</v>
      </c>
      <c r="C141" s="30" t="s">
        <v>201</v>
      </c>
      <c r="D141" s="30" t="s">
        <v>201</v>
      </c>
      <c r="E141" s="30" t="s">
        <v>201</v>
      </c>
      <c r="F141" s="30"/>
      <c r="G141" s="6"/>
      <c r="H141" s="122"/>
    </row>
    <row r="142" spans="1:8">
      <c r="A142" s="30" t="s">
        <v>302</v>
      </c>
      <c r="B142" s="37" t="s">
        <v>220</v>
      </c>
      <c r="C142" s="30">
        <v>102</v>
      </c>
      <c r="D142" s="30">
        <v>15</v>
      </c>
      <c r="E142" s="30">
        <v>2329</v>
      </c>
      <c r="F142" s="30"/>
      <c r="G142" s="6" t="s">
        <v>430</v>
      </c>
      <c r="H142" s="122"/>
    </row>
    <row r="143" spans="1:8">
      <c r="A143" s="30" t="s">
        <v>303</v>
      </c>
      <c r="B143" s="37" t="s">
        <v>221</v>
      </c>
      <c r="C143" s="30"/>
      <c r="D143" s="30"/>
      <c r="E143" s="30"/>
      <c r="F143" s="30"/>
      <c r="G143" s="6"/>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669980</v>
      </c>
    </row>
    <row r="148" spans="1:9">
      <c r="A148" s="27" t="s">
        <v>169</v>
      </c>
      <c r="B148" s="10" t="s">
        <v>167</v>
      </c>
      <c r="C148" s="9">
        <v>590989</v>
      </c>
      <c r="D148" s="60" t="s">
        <v>431</v>
      </c>
    </row>
    <row r="149" spans="1:9">
      <c r="A149" s="27" t="s">
        <v>171</v>
      </c>
      <c r="B149" s="10" t="s">
        <v>168</v>
      </c>
      <c r="C149" s="9">
        <v>78991</v>
      </c>
      <c r="D149" s="60" t="s">
        <v>432</v>
      </c>
    </row>
    <row r="150" spans="1:9" ht="24.75">
      <c r="A150" s="38">
        <v>31</v>
      </c>
      <c r="B150" s="33" t="s">
        <v>305</v>
      </c>
      <c r="C150" s="9"/>
    </row>
    <row r="151" spans="1:9">
      <c r="A151" s="27" t="s">
        <v>137</v>
      </c>
      <c r="B151" s="10" t="s">
        <v>170</v>
      </c>
      <c r="C151" s="9">
        <v>629367</v>
      </c>
    </row>
    <row r="152" spans="1:9">
      <c r="A152" s="27" t="s">
        <v>138</v>
      </c>
      <c r="B152" s="10" t="s">
        <v>172</v>
      </c>
      <c r="C152" s="9">
        <v>1899009</v>
      </c>
      <c r="D152" s="60" t="s">
        <v>433</v>
      </c>
    </row>
    <row r="153" spans="1:9">
      <c r="A153" s="27"/>
      <c r="B153" s="10"/>
      <c r="C153" s="9"/>
    </row>
    <row r="154" spans="1:9">
      <c r="A154" s="30"/>
      <c r="B154" s="1201" t="s">
        <v>306</v>
      </c>
      <c r="C154" s="1202"/>
    </row>
    <row r="155" spans="1:9">
      <c r="A155" s="30">
        <v>32</v>
      </c>
      <c r="B155" s="26" t="s">
        <v>307</v>
      </c>
      <c r="C155" s="52">
        <f>SUM(C156,C157,C163)</f>
        <v>127529</v>
      </c>
    </row>
    <row r="156" spans="1:9">
      <c r="A156" s="25" t="s">
        <v>308</v>
      </c>
      <c r="B156" s="28" t="s">
        <v>69</v>
      </c>
      <c r="C156" s="25">
        <v>54511</v>
      </c>
    </row>
    <row r="157" spans="1:9">
      <c r="A157" s="27" t="s">
        <v>309</v>
      </c>
      <c r="B157" s="28" t="s">
        <v>70</v>
      </c>
      <c r="C157" s="25">
        <v>17284</v>
      </c>
    </row>
    <row r="158" spans="1:9">
      <c r="A158" s="30">
        <v>33</v>
      </c>
      <c r="B158" s="41" t="s">
        <v>71</v>
      </c>
      <c r="C158" s="25">
        <v>31371</v>
      </c>
    </row>
    <row r="159" spans="1:9">
      <c r="A159" s="30">
        <v>34</v>
      </c>
      <c r="B159" s="26" t="s">
        <v>310</v>
      </c>
      <c r="C159" s="52">
        <f>SUM(C160:C162)</f>
        <v>1459</v>
      </c>
    </row>
    <row r="160" spans="1:9">
      <c r="A160" s="25" t="s">
        <v>173</v>
      </c>
      <c r="B160" s="28" t="s">
        <v>72</v>
      </c>
      <c r="C160" s="25">
        <v>141</v>
      </c>
    </row>
    <row r="161" spans="1:7">
      <c r="A161" s="27" t="s">
        <v>175</v>
      </c>
      <c r="B161" s="28" t="s">
        <v>73</v>
      </c>
      <c r="C161" s="25">
        <v>811</v>
      </c>
    </row>
    <row r="162" spans="1:7">
      <c r="A162" s="27" t="s">
        <v>177</v>
      </c>
      <c r="B162" s="28" t="s">
        <v>214</v>
      </c>
      <c r="C162" s="25">
        <v>507</v>
      </c>
    </row>
    <row r="163" spans="1:7">
      <c r="A163" s="23">
        <v>35</v>
      </c>
      <c r="B163" s="26" t="s">
        <v>311</v>
      </c>
      <c r="C163" s="52">
        <f>SUM(C164:C166)</f>
        <v>55734</v>
      </c>
    </row>
    <row r="164" spans="1:7">
      <c r="A164" s="39" t="s">
        <v>312</v>
      </c>
      <c r="B164" s="41" t="s">
        <v>174</v>
      </c>
      <c r="C164" s="25">
        <v>26150</v>
      </c>
    </row>
    <row r="165" spans="1:7">
      <c r="A165" s="27" t="s">
        <v>313</v>
      </c>
      <c r="B165" s="41" t="s">
        <v>176</v>
      </c>
      <c r="C165" s="25">
        <v>29209</v>
      </c>
    </row>
    <row r="166" spans="1:7">
      <c r="A166" s="27" t="s">
        <v>314</v>
      </c>
      <c r="B166" s="41" t="s">
        <v>178</v>
      </c>
      <c r="C166" s="25">
        <v>375</v>
      </c>
    </row>
    <row r="168" spans="1:7">
      <c r="A168" s="23"/>
      <c r="B168" s="129" t="s">
        <v>87</v>
      </c>
      <c r="C168" s="127"/>
      <c r="D168" s="127"/>
      <c r="E168" s="130"/>
      <c r="F168" s="131"/>
    </row>
    <row r="169" spans="1:7">
      <c r="A169" s="23">
        <v>36</v>
      </c>
      <c r="B169" s="132" t="s">
        <v>74</v>
      </c>
      <c r="C169" s="133">
        <v>3290</v>
      </c>
      <c r="D169" s="134"/>
      <c r="E169" s="46"/>
      <c r="F169" s="46"/>
      <c r="G169" s="135"/>
    </row>
    <row r="170" spans="1:7">
      <c r="A170" s="23">
        <v>37</v>
      </c>
      <c r="B170" s="41" t="s">
        <v>75</v>
      </c>
      <c r="C170" s="136">
        <v>2036</v>
      </c>
      <c r="D170" s="134"/>
      <c r="E170" s="46"/>
      <c r="F170" s="46"/>
      <c r="G170" s="135"/>
    </row>
    <row r="171" spans="1:7">
      <c r="A171" s="23">
        <v>38</v>
      </c>
      <c r="B171" s="26" t="s">
        <v>315</v>
      </c>
      <c r="C171" s="54">
        <v>5326</v>
      </c>
      <c r="D171" s="137"/>
      <c r="E171" s="138"/>
      <c r="F171" s="138"/>
      <c r="G171" s="138"/>
    </row>
    <row r="172" spans="1:7">
      <c r="A172" s="39" t="s">
        <v>118</v>
      </c>
      <c r="B172" s="28" t="s">
        <v>208</v>
      </c>
      <c r="C172" s="133">
        <v>2437</v>
      </c>
      <c r="D172" s="134"/>
      <c r="E172" s="46"/>
      <c r="F172" s="46"/>
      <c r="G172" s="135"/>
    </row>
    <row r="173" spans="1:7">
      <c r="A173" s="39" t="s">
        <v>119</v>
      </c>
      <c r="B173" s="28" t="s">
        <v>209</v>
      </c>
      <c r="C173" s="40">
        <v>337</v>
      </c>
      <c r="D173" s="134"/>
      <c r="E173" s="46"/>
      <c r="F173" s="46"/>
      <c r="G173" s="135"/>
    </row>
    <row r="174" spans="1:7">
      <c r="A174" s="27" t="s">
        <v>120</v>
      </c>
      <c r="B174" s="28" t="s">
        <v>210</v>
      </c>
      <c r="C174" s="40">
        <v>2552</v>
      </c>
      <c r="D174" s="134"/>
      <c r="E174" s="46"/>
      <c r="F174" s="46"/>
      <c r="G174" s="135"/>
    </row>
    <row r="175" spans="1:7">
      <c r="A175" s="23">
        <v>39</v>
      </c>
      <c r="B175" s="26" t="s">
        <v>316</v>
      </c>
      <c r="C175" s="54">
        <v>0</v>
      </c>
      <c r="D175" s="134"/>
      <c r="E175" s="46"/>
      <c r="F175" s="46"/>
      <c r="G175" s="135"/>
    </row>
    <row r="176" spans="1:7">
      <c r="A176" s="39" t="s">
        <v>317</v>
      </c>
      <c r="B176" s="28" t="s">
        <v>76</v>
      </c>
      <c r="C176" s="40">
        <v>0</v>
      </c>
      <c r="D176" s="134"/>
      <c r="E176" s="46"/>
      <c r="F176" s="46"/>
      <c r="G176" s="135"/>
    </row>
    <row r="177" spans="1:7">
      <c r="A177" s="39" t="s">
        <v>318</v>
      </c>
      <c r="B177" s="28" t="s">
        <v>77</v>
      </c>
      <c r="C177" s="40">
        <v>0</v>
      </c>
      <c r="D177" s="134"/>
      <c r="E177" s="46"/>
      <c r="F177" s="46"/>
      <c r="G177" s="135"/>
    </row>
    <row r="178" spans="1:7">
      <c r="A178" s="27" t="s">
        <v>319</v>
      </c>
      <c r="B178" s="28" t="s">
        <v>78</v>
      </c>
      <c r="C178" s="40">
        <v>0</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1960</v>
      </c>
      <c r="D181" s="134"/>
      <c r="E181" s="46"/>
      <c r="F181" s="46"/>
      <c r="G181" s="135"/>
    </row>
    <row r="182" spans="1:7">
      <c r="A182" s="23">
        <v>41</v>
      </c>
      <c r="B182" s="41" t="s">
        <v>75</v>
      </c>
      <c r="C182" s="40">
        <v>3647</v>
      </c>
      <c r="D182" s="134"/>
      <c r="E182" s="46"/>
      <c r="F182" s="46"/>
      <c r="G182" s="135"/>
    </row>
    <row r="183" spans="1:7">
      <c r="A183" s="23">
        <v>42</v>
      </c>
      <c r="B183" s="26" t="s">
        <v>320</v>
      </c>
      <c r="C183" s="54">
        <v>5607</v>
      </c>
      <c r="D183" s="134"/>
      <c r="E183" s="46"/>
      <c r="F183" s="46"/>
      <c r="G183" s="135"/>
    </row>
    <row r="184" spans="1:7">
      <c r="A184" s="39" t="s">
        <v>96</v>
      </c>
      <c r="B184" s="28" t="s">
        <v>211</v>
      </c>
      <c r="C184" s="136">
        <v>2791</v>
      </c>
      <c r="D184" s="134"/>
      <c r="E184" s="46"/>
      <c r="F184" s="46"/>
      <c r="G184" s="135"/>
    </row>
    <row r="185" spans="1:7">
      <c r="A185" s="39" t="s">
        <v>97</v>
      </c>
      <c r="B185" s="28" t="s">
        <v>212</v>
      </c>
      <c r="C185" s="40">
        <v>143</v>
      </c>
      <c r="D185" s="140"/>
      <c r="E185" s="141"/>
      <c r="F185" s="46"/>
      <c r="G185" s="135"/>
    </row>
    <row r="186" spans="1:7">
      <c r="A186" s="27" t="s">
        <v>98</v>
      </c>
      <c r="B186" s="28" t="s">
        <v>213</v>
      </c>
      <c r="C186" s="25">
        <v>2673</v>
      </c>
      <c r="D186" s="25"/>
      <c r="E186" s="25"/>
      <c r="F186" s="46"/>
    </row>
    <row r="187" spans="1:7">
      <c r="A187" s="23">
        <v>43</v>
      </c>
      <c r="B187" s="26" t="s">
        <v>321</v>
      </c>
      <c r="C187" s="54">
        <v>0</v>
      </c>
      <c r="D187" s="25"/>
      <c r="E187" s="25"/>
      <c r="F187" s="46"/>
    </row>
    <row r="188" spans="1:7">
      <c r="A188" s="39" t="s">
        <v>100</v>
      </c>
      <c r="B188" s="28" t="s">
        <v>76</v>
      </c>
      <c r="C188" s="40">
        <v>0</v>
      </c>
      <c r="D188" s="25"/>
      <c r="E188" s="25"/>
      <c r="F188" s="46"/>
    </row>
    <row r="189" spans="1:7">
      <c r="A189" s="39" t="s">
        <v>101</v>
      </c>
      <c r="B189" s="28" t="s">
        <v>77</v>
      </c>
      <c r="C189" s="40">
        <v>0</v>
      </c>
      <c r="D189" s="25"/>
      <c r="E189" s="25"/>
      <c r="F189" s="46"/>
    </row>
    <row r="190" spans="1:7">
      <c r="A190" s="25" t="s">
        <v>102</v>
      </c>
      <c r="B190" s="13" t="s">
        <v>78</v>
      </c>
      <c r="C190" s="40">
        <v>0</v>
      </c>
      <c r="D190" s="25"/>
      <c r="E190" s="25"/>
      <c r="F190" s="46"/>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v>99</v>
      </c>
      <c r="D194" s="52">
        <f>SUM(D195:D197)</f>
        <v>0</v>
      </c>
      <c r="E194" s="52">
        <f>SUM(E195:E197)</f>
        <v>37</v>
      </c>
      <c r="F194" s="145"/>
    </row>
    <row r="195" spans="1:6">
      <c r="A195" s="25" t="s">
        <v>121</v>
      </c>
      <c r="B195" s="13" t="s">
        <v>181</v>
      </c>
      <c r="C195" s="40">
        <v>99</v>
      </c>
      <c r="D195" s="25"/>
      <c r="E195" s="25">
        <v>37</v>
      </c>
      <c r="F195" s="46"/>
    </row>
    <row r="196" spans="1:6">
      <c r="A196" s="25" t="s">
        <v>122</v>
      </c>
      <c r="B196" s="13" t="s">
        <v>182</v>
      </c>
      <c r="C196" s="40">
        <v>0</v>
      </c>
      <c r="D196" s="25"/>
      <c r="E196" s="25"/>
      <c r="F196" s="46"/>
    </row>
    <row r="197" spans="1:6">
      <c r="A197" s="27" t="s">
        <v>123</v>
      </c>
      <c r="B197" s="13" t="s">
        <v>180</v>
      </c>
      <c r="C197" s="40">
        <v>31</v>
      </c>
      <c r="D197" s="25"/>
      <c r="E197" s="25"/>
      <c r="F197" s="46"/>
    </row>
    <row r="198" spans="1:6">
      <c r="A198" s="30">
        <v>45</v>
      </c>
      <c r="B198" s="6" t="s">
        <v>324</v>
      </c>
      <c r="C198" s="54">
        <f>SUM(C199:C201)</f>
        <v>3385</v>
      </c>
      <c r="D198" s="52">
        <f>SUM(D199:D201)</f>
        <v>0</v>
      </c>
      <c r="E198" s="52">
        <f>SUM(E199:E201)</f>
        <v>925</v>
      </c>
      <c r="F198" s="145"/>
    </row>
    <row r="199" spans="1:6">
      <c r="A199" s="25" t="s">
        <v>325</v>
      </c>
      <c r="B199" s="13" t="s">
        <v>80</v>
      </c>
      <c r="C199" s="195">
        <v>2705</v>
      </c>
      <c r="D199" s="25"/>
      <c r="E199" s="25">
        <v>925</v>
      </c>
      <c r="F199" s="46"/>
    </row>
    <row r="200" spans="1:6">
      <c r="A200" s="25" t="s">
        <v>326</v>
      </c>
      <c r="B200" s="13" t="s">
        <v>60</v>
      </c>
      <c r="C200" s="40">
        <v>0</v>
      </c>
      <c r="D200" s="25"/>
      <c r="E200" s="25"/>
      <c r="F200" s="46"/>
    </row>
    <row r="201" spans="1:6">
      <c r="A201" s="27" t="s">
        <v>327</v>
      </c>
      <c r="B201" s="13" t="s">
        <v>180</v>
      </c>
      <c r="C201" s="40">
        <v>680</v>
      </c>
      <c r="D201" s="25"/>
      <c r="E201" s="25"/>
      <c r="F201" s="46"/>
    </row>
    <row r="202" spans="1:6">
      <c r="A202" s="44"/>
      <c r="B202" s="45"/>
      <c r="C202" s="46"/>
      <c r="D202" s="146"/>
      <c r="E202" s="147"/>
      <c r="F202" s="46"/>
    </row>
    <row r="203" spans="1:6">
      <c r="A203" s="30">
        <v>46</v>
      </c>
      <c r="B203" s="10" t="s">
        <v>203</v>
      </c>
      <c r="C203" s="40">
        <v>0</v>
      </c>
      <c r="D203" s="25"/>
      <c r="E203" s="25"/>
      <c r="F203" s="46"/>
    </row>
    <row r="204" spans="1:6">
      <c r="A204" s="30">
        <v>47</v>
      </c>
      <c r="B204" s="49" t="s">
        <v>204</v>
      </c>
      <c r="C204" s="40">
        <v>0</v>
      </c>
      <c r="D204" s="25"/>
      <c r="E204" s="25"/>
      <c r="F204" s="46"/>
    </row>
    <row r="205" spans="1:6">
      <c r="A205" s="30">
        <v>48</v>
      </c>
      <c r="B205" s="10" t="s">
        <v>179</v>
      </c>
      <c r="C205" s="40">
        <v>10</v>
      </c>
      <c r="D205" s="25"/>
      <c r="E205" s="25"/>
      <c r="F205" s="46"/>
    </row>
    <row r="206" spans="1:6">
      <c r="A206" s="30">
        <v>49</v>
      </c>
      <c r="B206" s="10" t="s">
        <v>61</v>
      </c>
      <c r="C206" s="195">
        <v>3300</v>
      </c>
      <c r="D206" s="25"/>
      <c r="E206" s="25"/>
      <c r="F206" s="46"/>
    </row>
    <row r="207" spans="1:6">
      <c r="A207" s="148">
        <v>50</v>
      </c>
      <c r="B207" s="48" t="s">
        <v>202</v>
      </c>
      <c r="C207" s="47">
        <v>34</v>
      </c>
      <c r="D207" s="149"/>
      <c r="E207" s="150"/>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v>69</v>
      </c>
      <c r="D211" s="52">
        <v>8</v>
      </c>
      <c r="E211" s="9">
        <v>194</v>
      </c>
      <c r="F211" s="10"/>
    </row>
    <row r="212" spans="1:6" s="1" customFormat="1">
      <c r="A212" s="27" t="s">
        <v>329</v>
      </c>
      <c r="B212" s="13" t="s">
        <v>226</v>
      </c>
      <c r="C212" s="9">
        <v>14</v>
      </c>
      <c r="D212" s="9">
        <v>0</v>
      </c>
      <c r="E212" s="9">
        <v>79</v>
      </c>
      <c r="F212" s="10"/>
    </row>
    <row r="213" spans="1:6" s="1" customFormat="1">
      <c r="A213" s="27" t="s">
        <v>330</v>
      </c>
      <c r="B213" s="35" t="s">
        <v>128</v>
      </c>
      <c r="C213" s="9">
        <v>0</v>
      </c>
      <c r="D213" s="9">
        <v>0</v>
      </c>
      <c r="E213" s="9">
        <v>0</v>
      </c>
      <c r="F213" s="10"/>
    </row>
    <row r="214" spans="1:6" s="1" customFormat="1">
      <c r="A214" s="27" t="s">
        <v>331</v>
      </c>
      <c r="B214" s="13" t="s">
        <v>227</v>
      </c>
      <c r="C214" s="9">
        <v>3</v>
      </c>
      <c r="D214" s="9">
        <v>0</v>
      </c>
      <c r="E214" s="9">
        <v>6</v>
      </c>
      <c r="F214" s="10"/>
    </row>
    <row r="215" spans="1:6" s="1" customFormat="1">
      <c r="A215" s="27" t="s">
        <v>332</v>
      </c>
      <c r="B215" s="35" t="s">
        <v>130</v>
      </c>
      <c r="C215" s="9">
        <v>0</v>
      </c>
      <c r="D215" s="9">
        <v>0</v>
      </c>
      <c r="E215" s="9">
        <v>0</v>
      </c>
      <c r="F215" s="10"/>
    </row>
    <row r="216" spans="1:6" s="1" customFormat="1">
      <c r="A216" s="27" t="s">
        <v>333</v>
      </c>
      <c r="B216" s="13" t="s">
        <v>232</v>
      </c>
      <c r="C216" s="9">
        <v>0</v>
      </c>
      <c r="D216" s="9">
        <v>0</v>
      </c>
      <c r="E216" s="9">
        <v>0</v>
      </c>
      <c r="F216" s="10"/>
    </row>
    <row r="217" spans="1:6" s="1" customFormat="1">
      <c r="A217" s="27" t="s">
        <v>334</v>
      </c>
      <c r="B217" s="35" t="s">
        <v>131</v>
      </c>
      <c r="C217" s="9">
        <v>0</v>
      </c>
      <c r="D217" s="9">
        <v>0</v>
      </c>
      <c r="E217" s="9">
        <v>0</v>
      </c>
      <c r="F217" s="10"/>
    </row>
    <row r="218" spans="1:6" s="1" customFormat="1">
      <c r="A218" s="27" t="s">
        <v>335</v>
      </c>
      <c r="B218" s="13" t="s">
        <v>233</v>
      </c>
      <c r="C218" s="9">
        <v>4</v>
      </c>
      <c r="D218" s="9">
        <v>0</v>
      </c>
      <c r="E218" s="9">
        <v>1</v>
      </c>
      <c r="F218" s="10"/>
    </row>
    <row r="219" spans="1:6" s="1" customFormat="1">
      <c r="A219" s="27" t="s">
        <v>336</v>
      </c>
      <c r="B219" s="35" t="s">
        <v>132</v>
      </c>
      <c r="C219" s="9">
        <v>0</v>
      </c>
      <c r="D219" s="9">
        <v>0</v>
      </c>
      <c r="E219" s="9">
        <v>0</v>
      </c>
      <c r="F219" s="10"/>
    </row>
    <row r="220" spans="1:6" s="1" customFormat="1">
      <c r="A220" s="27" t="s">
        <v>337</v>
      </c>
      <c r="B220" s="13" t="s">
        <v>234</v>
      </c>
      <c r="C220" s="9">
        <v>23</v>
      </c>
      <c r="D220" s="9">
        <v>8</v>
      </c>
      <c r="E220" s="9">
        <v>52</v>
      </c>
      <c r="F220" s="10" t="s">
        <v>434</v>
      </c>
    </row>
    <row r="221" spans="1:6" s="1" customFormat="1">
      <c r="A221" s="27" t="s">
        <v>338</v>
      </c>
      <c r="B221" s="35" t="s">
        <v>133</v>
      </c>
      <c r="C221" s="9">
        <v>0</v>
      </c>
      <c r="D221" s="9">
        <v>0</v>
      </c>
      <c r="E221" s="9">
        <v>0</v>
      </c>
      <c r="F221" s="10"/>
    </row>
    <row r="222" spans="1:6" s="1" customFormat="1">
      <c r="A222" s="27" t="s">
        <v>339</v>
      </c>
      <c r="B222" s="13" t="s">
        <v>235</v>
      </c>
      <c r="C222" s="9">
        <v>1</v>
      </c>
      <c r="D222" s="9">
        <v>0</v>
      </c>
      <c r="E222" s="9">
        <v>1</v>
      </c>
      <c r="F222" s="10"/>
    </row>
    <row r="223" spans="1:6" s="1" customFormat="1">
      <c r="A223" s="27" t="s">
        <v>340</v>
      </c>
      <c r="B223" s="35" t="s">
        <v>134</v>
      </c>
      <c r="C223" s="9">
        <v>0</v>
      </c>
      <c r="D223" s="9">
        <v>0</v>
      </c>
      <c r="E223" s="9">
        <v>0</v>
      </c>
      <c r="F223" s="10"/>
    </row>
    <row r="224" spans="1:6" s="1" customFormat="1">
      <c r="A224" s="27" t="s">
        <v>341</v>
      </c>
      <c r="B224" s="13" t="s">
        <v>236</v>
      </c>
      <c r="C224" s="9">
        <v>20</v>
      </c>
      <c r="D224" s="9">
        <v>0</v>
      </c>
      <c r="E224" s="9">
        <v>48</v>
      </c>
      <c r="F224" s="10"/>
    </row>
    <row r="225" spans="1:8" s="1" customFormat="1">
      <c r="A225" s="27" t="s">
        <v>342</v>
      </c>
      <c r="B225" s="35" t="s">
        <v>135</v>
      </c>
      <c r="C225" s="9">
        <v>0</v>
      </c>
      <c r="D225" s="9">
        <v>0</v>
      </c>
      <c r="E225" s="9">
        <v>0</v>
      </c>
      <c r="F225" s="10"/>
    </row>
    <row r="226" spans="1:8" s="1" customFormat="1">
      <c r="A226" s="27" t="s">
        <v>343</v>
      </c>
      <c r="B226" s="13" t="s">
        <v>237</v>
      </c>
      <c r="C226" s="9">
        <v>4</v>
      </c>
      <c r="D226" s="9">
        <v>0</v>
      </c>
      <c r="E226" s="9">
        <v>1</v>
      </c>
      <c r="F226" s="10" t="s">
        <v>435</v>
      </c>
    </row>
    <row r="227" spans="1:8" s="1" customFormat="1" ht="25.5">
      <c r="A227" s="27" t="s">
        <v>344</v>
      </c>
      <c r="B227" s="152" t="s">
        <v>136</v>
      </c>
      <c r="C227" s="9">
        <v>0</v>
      </c>
      <c r="D227" s="9">
        <v>0</v>
      </c>
      <c r="E227" s="9">
        <v>0</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96" t="s">
        <v>380</v>
      </c>
      <c r="D230" s="47"/>
      <c r="E230" s="47"/>
      <c r="F230" s="47"/>
    </row>
    <row r="231" spans="1:8">
      <c r="A231" s="27" t="s">
        <v>347</v>
      </c>
      <c r="B231" s="152" t="s">
        <v>115</v>
      </c>
      <c r="C231" s="156">
        <v>0</v>
      </c>
      <c r="D231" s="47"/>
      <c r="E231" s="47"/>
      <c r="F231" s="47"/>
    </row>
    <row r="232" spans="1:8" ht="25.5">
      <c r="A232" s="27" t="s">
        <v>348</v>
      </c>
      <c r="B232" s="155" t="s">
        <v>239</v>
      </c>
      <c r="C232" s="156" t="s">
        <v>380</v>
      </c>
      <c r="D232" s="47"/>
      <c r="E232" s="47"/>
      <c r="F232" s="47"/>
    </row>
    <row r="233" spans="1:8">
      <c r="A233" s="27" t="s">
        <v>349</v>
      </c>
      <c r="B233" s="152" t="s">
        <v>116</v>
      </c>
      <c r="C233" s="156">
        <v>0</v>
      </c>
      <c r="D233" s="47"/>
      <c r="E233" s="47"/>
      <c r="F233" s="47"/>
    </row>
    <row r="234" spans="1:8" ht="25.5">
      <c r="A234" s="27" t="s">
        <v>350</v>
      </c>
      <c r="B234" s="155" t="s">
        <v>240</v>
      </c>
      <c r="C234" s="156" t="s">
        <v>380</v>
      </c>
      <c r="D234" s="47"/>
      <c r="E234" s="47"/>
      <c r="F234" s="47"/>
    </row>
    <row r="235" spans="1:8">
      <c r="A235" s="27" t="s">
        <v>351</v>
      </c>
      <c r="B235" s="152" t="s">
        <v>117</v>
      </c>
      <c r="C235" s="157">
        <v>0</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121</v>
      </c>
      <c r="D239" s="25"/>
      <c r="E239" s="40"/>
      <c r="F239" s="40"/>
      <c r="G239" s="10"/>
      <c r="H239" s="3"/>
    </row>
    <row r="240" spans="1:8">
      <c r="A240" s="30">
        <v>53</v>
      </c>
      <c r="B240" s="10" t="s">
        <v>63</v>
      </c>
      <c r="C240" s="25">
        <v>4257</v>
      </c>
      <c r="D240" s="25"/>
      <c r="E240" s="40"/>
      <c r="F240" s="40"/>
      <c r="G240" s="10"/>
      <c r="H240" s="3"/>
    </row>
    <row r="241" spans="1:10">
      <c r="A241" s="30">
        <v>54</v>
      </c>
      <c r="B241" s="10" t="s">
        <v>215</v>
      </c>
      <c r="C241" s="25">
        <v>75</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369</v>
      </c>
      <c r="D245" s="52">
        <f>SUM(D246:D251)</f>
        <v>469</v>
      </c>
      <c r="E245" s="54">
        <f>SUM(E246:E251)</f>
        <v>358</v>
      </c>
      <c r="F245" s="54">
        <f>SUM(F246:F251)</f>
        <v>8</v>
      </c>
      <c r="G245" s="52">
        <f>SUM(C245:F245)</f>
        <v>1204</v>
      </c>
      <c r="H245" s="145"/>
    </row>
    <row r="246" spans="1:10">
      <c r="A246" s="25" t="s">
        <v>353</v>
      </c>
      <c r="B246" s="13" t="s">
        <v>64</v>
      </c>
      <c r="C246" s="25">
        <v>107</v>
      </c>
      <c r="D246" s="25">
        <v>169</v>
      </c>
      <c r="E246" s="40">
        <v>317</v>
      </c>
      <c r="F246" s="40">
        <v>5</v>
      </c>
      <c r="G246" s="10"/>
      <c r="H246" s="3"/>
      <c r="J246" s="25"/>
    </row>
    <row r="247" spans="1:10">
      <c r="A247" s="27" t="s">
        <v>354</v>
      </c>
      <c r="B247" s="13" t="s">
        <v>65</v>
      </c>
      <c r="C247" s="25">
        <v>2</v>
      </c>
      <c r="D247" s="25"/>
      <c r="E247" s="40">
        <v>2</v>
      </c>
      <c r="F247" s="40"/>
      <c r="G247" s="10"/>
      <c r="H247" s="3"/>
    </row>
    <row r="248" spans="1:10">
      <c r="A248" s="27" t="s">
        <v>355</v>
      </c>
      <c r="B248" s="13" t="s">
        <v>66</v>
      </c>
      <c r="C248" s="25"/>
      <c r="D248" s="25"/>
      <c r="E248" s="40">
        <v>3</v>
      </c>
      <c r="F248" s="40"/>
      <c r="G248" s="10"/>
      <c r="H248" s="3"/>
    </row>
    <row r="249" spans="1:10">
      <c r="A249" s="27" t="s">
        <v>356</v>
      </c>
      <c r="B249" s="13" t="s">
        <v>67</v>
      </c>
      <c r="C249" s="25"/>
      <c r="D249" s="25"/>
      <c r="E249" s="40">
        <v>33</v>
      </c>
      <c r="F249" s="40">
        <v>3</v>
      </c>
      <c r="G249" s="10"/>
      <c r="H249" s="3"/>
    </row>
    <row r="250" spans="1:10">
      <c r="A250" s="25" t="s">
        <v>357</v>
      </c>
      <c r="B250" s="13" t="s">
        <v>68</v>
      </c>
      <c r="C250" s="25"/>
      <c r="D250" s="25"/>
      <c r="E250" s="40">
        <v>3</v>
      </c>
      <c r="F250" s="40"/>
      <c r="G250" s="10"/>
      <c r="H250" s="3"/>
    </row>
    <row r="251" spans="1:10" ht="24.75">
      <c r="A251" s="27" t="s">
        <v>358</v>
      </c>
      <c r="B251" s="155" t="s">
        <v>183</v>
      </c>
      <c r="C251" s="25">
        <v>260</v>
      </c>
      <c r="D251" s="25">
        <v>300</v>
      </c>
      <c r="E251" s="40"/>
      <c r="F251" s="40"/>
      <c r="G251" s="10"/>
      <c r="H251" s="3"/>
    </row>
    <row r="252" spans="1:10" ht="15">
      <c r="B252" s="161"/>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legacyDrawing r:id="rId2"/>
</worksheet>
</file>

<file path=xl/worksheets/sheet18.xml><?xml version="1.0" encoding="utf-8"?>
<worksheet xmlns="http://schemas.openxmlformats.org/spreadsheetml/2006/main" xmlns:r="http://schemas.openxmlformats.org/officeDocument/2006/relationships">
  <dimension ref="A1:O252"/>
  <sheetViews>
    <sheetView topLeftCell="A93" workbookViewId="0">
      <selection activeCell="C190" sqref="C190"/>
    </sheetView>
  </sheetViews>
  <sheetFormatPr defaultColWidth="8.85546875" defaultRowHeight="14.25"/>
  <cols>
    <col min="1" max="1" width="11.28515625" style="401" customWidth="1"/>
    <col min="2" max="2" width="60.28515625" style="401" customWidth="1"/>
    <col min="3" max="3" width="11.28515625" style="401" customWidth="1"/>
    <col min="4" max="4" width="10.7109375" style="401" customWidth="1"/>
    <col min="5" max="5" width="9.28515625" style="401" customWidth="1"/>
    <col min="6" max="6" width="6.28515625" style="401" customWidth="1"/>
    <col min="7" max="7" width="12.140625" style="401" customWidth="1"/>
    <col min="8" max="8" width="35.42578125" style="401" customWidth="1"/>
    <col min="9" max="16384" width="8.85546875" style="401"/>
  </cols>
  <sheetData>
    <row r="1" spans="1:8" ht="15">
      <c r="A1" s="399"/>
      <c r="B1" s="208" t="s">
        <v>241</v>
      </c>
      <c r="C1" s="208"/>
      <c r="D1" s="208" t="s">
        <v>652</v>
      </c>
      <c r="E1" s="208"/>
      <c r="F1" s="208"/>
      <c r="G1" s="208"/>
      <c r="H1" s="400"/>
    </row>
    <row r="2" spans="1:8">
      <c r="A2" s="402"/>
      <c r="B2" s="400"/>
      <c r="C2" s="402"/>
      <c r="D2" s="402"/>
      <c r="E2" s="402"/>
      <c r="F2" s="402"/>
      <c r="G2" s="400"/>
      <c r="H2" s="400"/>
    </row>
    <row r="3" spans="1:8" ht="15">
      <c r="A3" s="399" t="s">
        <v>161</v>
      </c>
      <c r="B3" s="547" t="s">
        <v>688</v>
      </c>
      <c r="C3" s="404"/>
      <c r="D3" s="405" t="s">
        <v>185</v>
      </c>
      <c r="E3" s="404"/>
      <c r="F3" s="404"/>
      <c r="G3" s="400"/>
      <c r="H3" s="400"/>
    </row>
    <row r="4" spans="1:8">
      <c r="A4" s="402"/>
      <c r="B4" s="400"/>
      <c r="C4" s="402"/>
      <c r="D4" s="402"/>
      <c r="E4" s="402"/>
      <c r="F4" s="402"/>
      <c r="G4" s="400"/>
      <c r="H4" s="400"/>
    </row>
    <row r="5" spans="1:8" ht="12.75" customHeight="1">
      <c r="A5" s="1400" t="s">
        <v>189</v>
      </c>
      <c r="B5" s="403" t="s">
        <v>653</v>
      </c>
      <c r="C5" s="404"/>
      <c r="D5" s="404" t="s">
        <v>186</v>
      </c>
      <c r="E5" s="404"/>
      <c r="F5" s="404"/>
      <c r="G5" s="400"/>
      <c r="H5" s="400"/>
    </row>
    <row r="6" spans="1:8" ht="20.25" customHeight="1">
      <c r="A6" s="1400"/>
      <c r="B6" s="404"/>
      <c r="C6" s="402"/>
      <c r="D6" s="402" t="s">
        <v>187</v>
      </c>
      <c r="E6" s="402"/>
      <c r="F6" s="402"/>
      <c r="G6" s="400"/>
      <c r="H6" s="400"/>
    </row>
    <row r="7" spans="1:8" ht="12.75" customHeight="1">
      <c r="A7" s="1400" t="s">
        <v>184</v>
      </c>
      <c r="B7" s="403" t="s">
        <v>654</v>
      </c>
      <c r="C7" s="404"/>
      <c r="D7" s="404"/>
      <c r="E7" s="404"/>
      <c r="F7" s="404"/>
      <c r="G7" s="400"/>
      <c r="H7" s="400"/>
    </row>
    <row r="8" spans="1:8">
      <c r="A8" s="1400"/>
      <c r="B8" s="400"/>
      <c r="C8" s="404"/>
      <c r="D8" s="402" t="s">
        <v>188</v>
      </c>
      <c r="E8" s="402"/>
      <c r="F8" s="402"/>
      <c r="G8" s="400"/>
      <c r="H8" s="400"/>
    </row>
    <row r="9" spans="1:8" ht="15">
      <c r="A9" s="208" t="s">
        <v>190</v>
      </c>
      <c r="B9" s="406" t="s">
        <v>655</v>
      </c>
      <c r="C9" s="404"/>
      <c r="D9" s="402"/>
      <c r="E9" s="402"/>
      <c r="F9" s="402"/>
      <c r="G9" s="400"/>
      <c r="H9" s="400"/>
    </row>
    <row r="10" spans="1:8" ht="15">
      <c r="A10" s="208"/>
      <c r="B10" s="400"/>
      <c r="C10" s="402"/>
      <c r="D10" s="407" t="s">
        <v>242</v>
      </c>
      <c r="E10" s="402"/>
      <c r="F10" s="408"/>
      <c r="G10" s="400"/>
      <c r="H10" s="400"/>
    </row>
    <row r="11" spans="1:8" ht="15">
      <c r="A11" s="409" t="s">
        <v>162</v>
      </c>
      <c r="B11" s="403" t="s">
        <v>656</v>
      </c>
      <c r="C11" s="404"/>
      <c r="D11" s="402"/>
      <c r="E11" s="402"/>
      <c r="F11" s="402"/>
      <c r="G11" s="400"/>
      <c r="H11" s="400"/>
    </row>
    <row r="12" spans="1:8" ht="15">
      <c r="A12" s="402"/>
      <c r="B12" s="400"/>
      <c r="C12" s="402"/>
      <c r="D12" s="208"/>
      <c r="E12" s="402"/>
      <c r="F12" s="402"/>
      <c r="G12" s="400"/>
      <c r="H12" s="400"/>
    </row>
    <row r="13" spans="1:8">
      <c r="A13" s="1400" t="s">
        <v>163</v>
      </c>
      <c r="B13" s="403" t="s">
        <v>657</v>
      </c>
      <c r="C13" s="404"/>
      <c r="D13" s="404"/>
      <c r="E13" s="402"/>
      <c r="F13" s="402"/>
      <c r="G13" s="400"/>
      <c r="H13" s="400"/>
    </row>
    <row r="14" spans="1:8">
      <c r="A14" s="1400"/>
      <c r="B14" s="400"/>
      <c r="C14" s="400"/>
      <c r="D14" s="400"/>
      <c r="E14" s="400"/>
      <c r="F14" s="400"/>
      <c r="G14" s="400"/>
      <c r="H14" s="400"/>
    </row>
    <row r="16" spans="1:8" ht="15">
      <c r="A16" s="1398" t="s">
        <v>359</v>
      </c>
      <c r="B16" s="1377"/>
      <c r="C16" s="1377"/>
      <c r="D16" s="1377"/>
      <c r="E16" s="1377"/>
      <c r="F16" s="1377"/>
      <c r="G16" s="1378"/>
      <c r="H16" s="410"/>
    </row>
    <row r="17" spans="1:8" ht="15">
      <c r="A17" s="411" t="s">
        <v>86</v>
      </c>
      <c r="B17" s="411" t="s">
        <v>8</v>
      </c>
      <c r="C17" s="411" t="s">
        <v>0</v>
      </c>
      <c r="D17" s="1394" t="s">
        <v>149</v>
      </c>
      <c r="E17" s="1394"/>
      <c r="F17" s="412"/>
      <c r="G17" s="413"/>
      <c r="H17" s="405"/>
    </row>
    <row r="18" spans="1:8" ht="15">
      <c r="A18" s="411">
        <v>1</v>
      </c>
      <c r="B18" s="414" t="s">
        <v>1</v>
      </c>
      <c r="C18" s="415">
        <v>1</v>
      </c>
      <c r="D18" s="1379"/>
      <c r="E18" s="1379"/>
      <c r="F18" s="416"/>
      <c r="G18" s="417"/>
      <c r="H18" s="404"/>
    </row>
    <row r="19" spans="1:8" ht="27" customHeight="1">
      <c r="A19" s="418" t="s">
        <v>111</v>
      </c>
      <c r="B19" s="419" t="s">
        <v>228</v>
      </c>
      <c r="C19" s="415">
        <v>7</v>
      </c>
      <c r="D19" s="1390"/>
      <c r="E19" s="1391"/>
      <c r="F19" s="416"/>
      <c r="H19" s="420"/>
    </row>
    <row r="20" spans="1:8" ht="29.25">
      <c r="A20" s="418" t="s">
        <v>112</v>
      </c>
      <c r="B20" s="419" t="s">
        <v>229</v>
      </c>
      <c r="C20" s="415">
        <v>42</v>
      </c>
      <c r="D20" s="1379"/>
      <c r="E20" s="1379"/>
      <c r="F20" s="416"/>
      <c r="H20" s="413"/>
    </row>
    <row r="21" spans="1:8" ht="39" customHeight="1">
      <c r="A21" s="418" t="s">
        <v>113</v>
      </c>
      <c r="B21" s="421" t="s">
        <v>230</v>
      </c>
      <c r="C21" s="415">
        <v>9</v>
      </c>
      <c r="D21" s="1401"/>
      <c r="E21" s="1401"/>
      <c r="F21" s="416"/>
      <c r="G21" s="417"/>
      <c r="H21" s="404"/>
    </row>
    <row r="22" spans="1:8" ht="39" customHeight="1">
      <c r="A22" s="418" t="s">
        <v>114</v>
      </c>
      <c r="B22" s="421" t="s">
        <v>231</v>
      </c>
      <c r="C22" s="422">
        <v>8</v>
      </c>
      <c r="D22" s="1401"/>
      <c r="E22" s="1401"/>
      <c r="F22" s="416"/>
      <c r="H22" s="413"/>
    </row>
    <row r="23" spans="1:8">
      <c r="A23" s="1397"/>
      <c r="B23" s="1377"/>
      <c r="C23" s="1377"/>
      <c r="D23" s="1377"/>
      <c r="E23" s="1377"/>
      <c r="F23" s="1377"/>
      <c r="G23" s="1378"/>
      <c r="H23" s="410"/>
    </row>
    <row r="24" spans="1:8" ht="15">
      <c r="A24" s="1398" t="s">
        <v>360</v>
      </c>
      <c r="B24" s="1377"/>
      <c r="C24" s="1377"/>
      <c r="D24" s="1377"/>
      <c r="E24" s="1377"/>
      <c r="F24" s="1377"/>
      <c r="G24" s="1378"/>
      <c r="H24" s="410"/>
    </row>
    <row r="25" spans="1:8" ht="15">
      <c r="A25" s="411" t="s">
        <v>86</v>
      </c>
      <c r="B25" s="411" t="s">
        <v>8</v>
      </c>
      <c r="C25" s="411" t="s">
        <v>2</v>
      </c>
      <c r="D25" s="1394" t="s">
        <v>149</v>
      </c>
      <c r="E25" s="1394"/>
      <c r="F25" s="412"/>
      <c r="G25" s="413"/>
      <c r="H25" s="405"/>
    </row>
    <row r="26" spans="1:8" ht="15">
      <c r="A26" s="411">
        <v>2</v>
      </c>
      <c r="B26" s="414" t="s">
        <v>243</v>
      </c>
      <c r="C26" s="423">
        <f>SUM(C27:C30)</f>
        <v>31.09</v>
      </c>
      <c r="D26" s="1379"/>
      <c r="E26" s="1379"/>
      <c r="F26" s="416"/>
      <c r="H26" s="417"/>
    </row>
    <row r="27" spans="1:8">
      <c r="A27" s="415" t="s">
        <v>3</v>
      </c>
      <c r="B27" s="424" t="s">
        <v>4</v>
      </c>
      <c r="C27" s="425">
        <f>26.34+1</f>
        <v>27.34</v>
      </c>
      <c r="D27" s="1379"/>
      <c r="E27" s="1379"/>
      <c r="F27" s="416"/>
      <c r="H27" s="417"/>
    </row>
    <row r="28" spans="1:8">
      <c r="A28" s="418" t="s">
        <v>5</v>
      </c>
      <c r="B28" s="424" t="s">
        <v>658</v>
      </c>
      <c r="C28" s="425">
        <v>2</v>
      </c>
      <c r="D28" s="1379"/>
      <c r="E28" s="1379"/>
      <c r="F28" s="416"/>
      <c r="H28" s="417"/>
    </row>
    <row r="29" spans="1:8">
      <c r="A29" s="415" t="s">
        <v>145</v>
      </c>
      <c r="B29" s="424" t="s">
        <v>659</v>
      </c>
      <c r="C29" s="425">
        <v>1.75</v>
      </c>
      <c r="D29" s="1395"/>
      <c r="E29" s="1399"/>
      <c r="F29" s="426"/>
      <c r="H29" s="417"/>
    </row>
    <row r="30" spans="1:8">
      <c r="A30" s="415" t="s">
        <v>244</v>
      </c>
      <c r="B30" s="424" t="s">
        <v>245</v>
      </c>
      <c r="C30" s="425">
        <v>0</v>
      </c>
      <c r="D30" s="427"/>
      <c r="E30" s="426"/>
      <c r="F30" s="426"/>
      <c r="G30" s="417"/>
      <c r="H30" s="404"/>
    </row>
    <row r="31" spans="1:8" ht="15">
      <c r="A31" s="411">
        <v>3</v>
      </c>
      <c r="B31" s="414" t="s">
        <v>14</v>
      </c>
      <c r="C31" s="423">
        <f>SUM(C32:C34)</f>
        <v>50.22</v>
      </c>
      <c r="D31" s="1379"/>
      <c r="E31" s="1379"/>
      <c r="F31" s="416"/>
      <c r="H31" s="417"/>
    </row>
    <row r="32" spans="1:8">
      <c r="A32" s="415" t="s">
        <v>6</v>
      </c>
      <c r="B32" s="424" t="s">
        <v>7</v>
      </c>
      <c r="C32" s="425">
        <f>28.22+2</f>
        <v>30.22</v>
      </c>
      <c r="D32" s="1379"/>
      <c r="E32" s="1379"/>
      <c r="F32" s="416"/>
      <c r="H32" s="417"/>
    </row>
    <row r="33" spans="1:8">
      <c r="A33" s="418" t="s">
        <v>12</v>
      </c>
      <c r="B33" s="424" t="s">
        <v>15</v>
      </c>
      <c r="C33" s="425">
        <v>8.75</v>
      </c>
      <c r="D33" s="1379"/>
      <c r="E33" s="1379"/>
      <c r="F33" s="416"/>
      <c r="G33" s="417"/>
      <c r="H33" s="404"/>
    </row>
    <row r="34" spans="1:8" ht="15">
      <c r="A34" s="418" t="s">
        <v>13</v>
      </c>
      <c r="B34" s="424" t="s">
        <v>660</v>
      </c>
      <c r="C34" s="425">
        <v>11.25</v>
      </c>
      <c r="D34" s="1379"/>
      <c r="E34" s="1379"/>
      <c r="F34" s="416"/>
      <c r="G34" s="417"/>
      <c r="H34" s="404"/>
    </row>
    <row r="35" spans="1:8" ht="15">
      <c r="A35" s="411">
        <v>4</v>
      </c>
      <c r="B35" s="428" t="s">
        <v>17</v>
      </c>
      <c r="C35" s="425">
        <v>2</v>
      </c>
      <c r="D35" s="1379"/>
      <c r="E35" s="1379"/>
      <c r="F35" s="416"/>
      <c r="G35" s="417"/>
      <c r="H35" s="404"/>
    </row>
    <row r="36" spans="1:8">
      <c r="A36" s="418" t="s">
        <v>16</v>
      </c>
      <c r="B36" s="424" t="s">
        <v>84</v>
      </c>
      <c r="C36" s="425">
        <v>4.5</v>
      </c>
      <c r="D36" s="1379"/>
      <c r="E36" s="1379"/>
      <c r="F36" s="416"/>
      <c r="G36" s="417"/>
      <c r="H36" s="404"/>
    </row>
    <row r="37" spans="1:8" ht="30">
      <c r="A37" s="411">
        <v>5</v>
      </c>
      <c r="B37" s="429" t="s">
        <v>26</v>
      </c>
      <c r="C37" s="425">
        <f>1.5+0.83+0.83+40.23</f>
        <v>43.39</v>
      </c>
      <c r="D37" s="1379"/>
      <c r="E37" s="1379"/>
      <c r="F37" s="416"/>
      <c r="H37" s="420"/>
    </row>
    <row r="38" spans="1:8" ht="15">
      <c r="A38" s="430" t="s">
        <v>147</v>
      </c>
      <c r="B38" s="428" t="s">
        <v>150</v>
      </c>
      <c r="C38" s="425">
        <v>0.18</v>
      </c>
      <c r="D38" s="1394"/>
      <c r="E38" s="1394"/>
      <c r="F38" s="412"/>
      <c r="G38" s="417"/>
      <c r="H38" s="404"/>
    </row>
    <row r="39" spans="1:8" ht="15">
      <c r="A39" s="411">
        <v>6</v>
      </c>
      <c r="B39" s="414" t="s">
        <v>85</v>
      </c>
      <c r="C39" s="423">
        <f>SUM(C26+C31+C35+C37)</f>
        <v>126.7</v>
      </c>
      <c r="D39" s="1379"/>
      <c r="E39" s="1379"/>
      <c r="F39" s="416"/>
      <c r="H39" s="417"/>
    </row>
    <row r="40" spans="1:8">
      <c r="A40" s="1397"/>
      <c r="B40" s="1377"/>
      <c r="C40" s="1377"/>
      <c r="D40" s="1377"/>
      <c r="E40" s="1377"/>
      <c r="F40" s="1377"/>
      <c r="G40" s="1378"/>
      <c r="H40" s="410"/>
    </row>
    <row r="41" spans="1:8" ht="15">
      <c r="A41" s="1398" t="s">
        <v>361</v>
      </c>
      <c r="B41" s="1377"/>
      <c r="C41" s="1377"/>
      <c r="D41" s="1377"/>
      <c r="E41" s="1377"/>
      <c r="F41" s="1377"/>
      <c r="G41" s="1378"/>
      <c r="H41" s="410"/>
    </row>
    <row r="42" spans="1:8" ht="15">
      <c r="A42" s="411" t="s">
        <v>86</v>
      </c>
      <c r="B42" s="411" t="s">
        <v>8</v>
      </c>
      <c r="C42" s="411" t="s">
        <v>9</v>
      </c>
      <c r="D42" s="1394" t="s">
        <v>149</v>
      </c>
      <c r="E42" s="1394"/>
      <c r="F42" s="412"/>
      <c r="G42" s="413"/>
      <c r="H42" s="405"/>
    </row>
    <row r="43" spans="1:8" ht="15">
      <c r="A43" s="411"/>
      <c r="B43" s="431" t="s">
        <v>10</v>
      </c>
      <c r="C43" s="1379"/>
      <c r="D43" s="1379"/>
      <c r="E43" s="1379"/>
      <c r="F43" s="416"/>
      <c r="G43" s="417"/>
      <c r="H43" s="404"/>
    </row>
    <row r="44" spans="1:8" ht="15">
      <c r="A44" s="411">
        <v>7</v>
      </c>
      <c r="B44" s="414" t="s">
        <v>246</v>
      </c>
      <c r="C44" s="432">
        <f>SUM(C45:C47)</f>
        <v>2523090</v>
      </c>
      <c r="D44" s="1379"/>
      <c r="E44" s="1379"/>
      <c r="F44" s="416"/>
      <c r="H44" s="417"/>
    </row>
    <row r="45" spans="1:8">
      <c r="A45" s="415" t="s">
        <v>11</v>
      </c>
      <c r="B45" s="424" t="s">
        <v>19</v>
      </c>
      <c r="C45" s="433">
        <f>2063384+71780</f>
        <v>2135164</v>
      </c>
      <c r="D45" s="1379"/>
      <c r="E45" s="1379"/>
      <c r="F45" s="416"/>
      <c r="H45" s="417"/>
    </row>
    <row r="46" spans="1:8">
      <c r="A46" s="418" t="s">
        <v>18</v>
      </c>
      <c r="B46" s="424" t="s">
        <v>151</v>
      </c>
      <c r="C46" s="433">
        <v>387926</v>
      </c>
      <c r="D46" s="1379"/>
      <c r="E46" s="1379"/>
      <c r="F46" s="416"/>
      <c r="G46" s="417"/>
      <c r="H46" s="404"/>
    </row>
    <row r="47" spans="1:8">
      <c r="A47" s="415" t="s">
        <v>247</v>
      </c>
      <c r="B47" s="424" t="s">
        <v>248</v>
      </c>
      <c r="C47" s="434">
        <v>0</v>
      </c>
      <c r="D47" s="416"/>
      <c r="E47" s="416"/>
      <c r="F47" s="416"/>
      <c r="G47" s="417"/>
      <c r="H47" s="404"/>
    </row>
    <row r="48" spans="1:8" ht="15">
      <c r="A48" s="411">
        <v>8</v>
      </c>
      <c r="B48" s="414" t="s">
        <v>109</v>
      </c>
      <c r="C48" s="432">
        <f>SUM(C49:C51)</f>
        <v>2279957</v>
      </c>
      <c r="D48" s="1379"/>
      <c r="E48" s="1379"/>
      <c r="F48" s="416"/>
      <c r="H48" s="417"/>
    </row>
    <row r="49" spans="1:8">
      <c r="A49" s="435" t="s">
        <v>20</v>
      </c>
      <c r="B49" s="436" t="s">
        <v>23</v>
      </c>
      <c r="C49" s="433">
        <f>1178838+72706</f>
        <v>1251544</v>
      </c>
      <c r="D49" s="1379"/>
      <c r="E49" s="1379"/>
      <c r="F49" s="416"/>
      <c r="H49" s="417"/>
    </row>
    <row r="50" spans="1:8">
      <c r="A50" s="418" t="s">
        <v>21</v>
      </c>
      <c r="B50" s="424" t="s">
        <v>24</v>
      </c>
      <c r="C50" s="433">
        <v>374166</v>
      </c>
      <c r="D50" s="1379"/>
      <c r="E50" s="1379"/>
      <c r="F50" s="416"/>
      <c r="G50" s="417"/>
      <c r="H50" s="404"/>
    </row>
    <row r="51" spans="1:8">
      <c r="A51" s="418" t="s">
        <v>22</v>
      </c>
      <c r="B51" s="424" t="s">
        <v>25</v>
      </c>
      <c r="C51" s="433">
        <v>654247</v>
      </c>
      <c r="D51" s="1379"/>
      <c r="E51" s="1379"/>
      <c r="F51" s="416"/>
      <c r="G51" s="417"/>
      <c r="H51" s="404"/>
    </row>
    <row r="52" spans="1:8" ht="30">
      <c r="A52" s="437">
        <v>9</v>
      </c>
      <c r="B52" s="438" t="s">
        <v>27</v>
      </c>
      <c r="C52" s="439">
        <f>693106.7+17841</f>
        <v>710947.7</v>
      </c>
      <c r="D52" s="1379"/>
      <c r="E52" s="1379"/>
      <c r="F52" s="416"/>
      <c r="H52" s="420"/>
    </row>
    <row r="53" spans="1:8" ht="15">
      <c r="A53" s="437">
        <v>10</v>
      </c>
      <c r="B53" s="438" t="s">
        <v>249</v>
      </c>
      <c r="C53" s="439">
        <f>SUM(C44+C48+C52)</f>
        <v>5513994.7000000002</v>
      </c>
      <c r="D53" s="427"/>
      <c r="E53" s="440"/>
      <c r="F53" s="440"/>
      <c r="H53" s="417"/>
    </row>
    <row r="54" spans="1:8" ht="15">
      <c r="A54" s="437"/>
      <c r="B54" s="438"/>
      <c r="C54" s="433"/>
      <c r="D54" s="1395"/>
      <c r="E54" s="1396"/>
      <c r="F54" s="440"/>
      <c r="G54" s="417"/>
      <c r="H54" s="404"/>
    </row>
    <row r="55" spans="1:8" ht="15">
      <c r="A55" s="441"/>
      <c r="B55" s="431" t="s">
        <v>250</v>
      </c>
      <c r="C55" s="442"/>
      <c r="D55" s="1394"/>
      <c r="E55" s="1379"/>
      <c r="F55" s="416"/>
      <c r="G55" s="417"/>
      <c r="H55" s="404"/>
    </row>
    <row r="56" spans="1:8" ht="30">
      <c r="A56" s="443">
        <v>11</v>
      </c>
      <c r="B56" s="444" t="s">
        <v>251</v>
      </c>
      <c r="C56" s="445">
        <f>SUM(C57:C59)</f>
        <v>575828.44999999995</v>
      </c>
      <c r="D56" s="1379"/>
      <c r="E56" s="1379"/>
      <c r="F56" s="416"/>
      <c r="H56" s="417"/>
    </row>
    <row r="57" spans="1:8">
      <c r="A57" s="446" t="s">
        <v>30</v>
      </c>
      <c r="B57" s="447" t="s">
        <v>28</v>
      </c>
      <c r="C57" s="433">
        <f>345021+45000+37749.45</f>
        <v>427770.45</v>
      </c>
      <c r="D57" s="1379"/>
      <c r="E57" s="1379"/>
      <c r="F57" s="416"/>
      <c r="H57" s="420"/>
    </row>
    <row r="58" spans="1:8">
      <c r="A58" s="446" t="s">
        <v>32</v>
      </c>
      <c r="B58" s="447" t="s">
        <v>363</v>
      </c>
      <c r="C58" s="433">
        <v>3743</v>
      </c>
      <c r="D58" s="1379"/>
      <c r="E58" s="1379"/>
      <c r="F58" s="416"/>
      <c r="H58" s="417"/>
    </row>
    <row r="59" spans="1:8">
      <c r="A59" s="446" t="s">
        <v>34</v>
      </c>
      <c r="B59" s="447" t="s">
        <v>29</v>
      </c>
      <c r="C59" s="433">
        <v>144315</v>
      </c>
      <c r="D59" s="1379"/>
      <c r="E59" s="1379"/>
      <c r="F59" s="416"/>
      <c r="H59" s="417"/>
    </row>
    <row r="60" spans="1:8" ht="45">
      <c r="A60" s="443">
        <v>12</v>
      </c>
      <c r="B60" s="444" t="s">
        <v>252</v>
      </c>
      <c r="C60" s="448">
        <f>SUM(C61+C62+C64+C65+C66)</f>
        <v>1865382.44</v>
      </c>
      <c r="D60" s="1379"/>
      <c r="E60" s="1379"/>
      <c r="F60" s="416"/>
      <c r="H60" s="417"/>
    </row>
    <row r="61" spans="1:8">
      <c r="A61" s="446" t="s">
        <v>36</v>
      </c>
      <c r="B61" s="447" t="s">
        <v>661</v>
      </c>
      <c r="C61" s="433">
        <f>253671+3000+80</f>
        <v>256751</v>
      </c>
      <c r="D61" s="1379"/>
      <c r="E61" s="1379"/>
      <c r="F61" s="416"/>
      <c r="H61" s="417"/>
    </row>
    <row r="62" spans="1:8">
      <c r="A62" s="446" t="s">
        <v>662</v>
      </c>
      <c r="B62" s="447" t="s">
        <v>206</v>
      </c>
      <c r="C62" s="433">
        <v>1577587</v>
      </c>
      <c r="D62" s="1379"/>
      <c r="E62" s="1379"/>
      <c r="F62" s="416"/>
      <c r="H62" s="417"/>
    </row>
    <row r="63" spans="1:8">
      <c r="A63" s="446" t="s">
        <v>253</v>
      </c>
      <c r="B63" s="447" t="s">
        <v>33</v>
      </c>
      <c r="C63" s="433">
        <v>209183</v>
      </c>
      <c r="D63" s="1379"/>
      <c r="E63" s="1379"/>
      <c r="F63" s="416"/>
      <c r="H63" s="417"/>
    </row>
    <row r="64" spans="1:8">
      <c r="A64" s="446" t="s">
        <v>39</v>
      </c>
      <c r="B64" s="447" t="s">
        <v>35</v>
      </c>
      <c r="C64" s="433">
        <f>19828+3884.44</f>
        <v>23712.44</v>
      </c>
      <c r="D64" s="1379"/>
      <c r="E64" s="1379"/>
      <c r="F64" s="416"/>
      <c r="H64" s="417"/>
    </row>
    <row r="65" spans="1:8">
      <c r="A65" s="449" t="s">
        <v>254</v>
      </c>
      <c r="B65" s="447" t="s">
        <v>153</v>
      </c>
      <c r="C65" s="433">
        <v>7332</v>
      </c>
      <c r="D65" s="1379"/>
      <c r="E65" s="1379"/>
      <c r="F65" s="416"/>
      <c r="H65" s="417"/>
    </row>
    <row r="66" spans="1:8">
      <c r="A66" s="449" t="s">
        <v>255</v>
      </c>
      <c r="B66" s="450" t="s">
        <v>216</v>
      </c>
      <c r="C66" s="433">
        <v>0</v>
      </c>
      <c r="D66" s="1379"/>
      <c r="E66" s="1379"/>
      <c r="F66" s="416"/>
      <c r="H66" s="417"/>
    </row>
    <row r="67" spans="1:8" ht="15">
      <c r="A67" s="443">
        <v>13</v>
      </c>
      <c r="B67" s="451" t="s">
        <v>256</v>
      </c>
      <c r="C67" s="448">
        <f>SUM(C68:C69)</f>
        <v>30396.73</v>
      </c>
      <c r="D67" s="1379"/>
      <c r="E67" s="1379"/>
      <c r="F67" s="416"/>
      <c r="H67" s="417"/>
    </row>
    <row r="68" spans="1:8">
      <c r="A68" s="446" t="s">
        <v>156</v>
      </c>
      <c r="B68" s="450" t="s">
        <v>40</v>
      </c>
      <c r="C68" s="433">
        <v>136</v>
      </c>
      <c r="D68" s="1379"/>
      <c r="E68" s="1379"/>
      <c r="F68" s="416"/>
      <c r="H68" s="417"/>
    </row>
    <row r="69" spans="1:8">
      <c r="A69" s="446" t="s">
        <v>157</v>
      </c>
      <c r="B69" s="450" t="s">
        <v>41</v>
      </c>
      <c r="C69" s="433">
        <f>18070+12000+190.73</f>
        <v>30260.73</v>
      </c>
      <c r="D69" s="1379"/>
      <c r="E69" s="1379"/>
      <c r="F69" s="416"/>
      <c r="H69" s="417"/>
    </row>
    <row r="70" spans="1:8" ht="15">
      <c r="A70" s="441">
        <v>14</v>
      </c>
      <c r="B70" s="413" t="s">
        <v>257</v>
      </c>
      <c r="C70" s="448">
        <f>SUM(C71:C75)</f>
        <v>0</v>
      </c>
      <c r="D70" s="1379"/>
      <c r="E70" s="1379"/>
      <c r="F70" s="416"/>
      <c r="H70" s="417"/>
    </row>
    <row r="71" spans="1:8" ht="15">
      <c r="A71" s="452" t="s">
        <v>42</v>
      </c>
      <c r="B71" s="453" t="s">
        <v>663</v>
      </c>
      <c r="C71" s="433">
        <v>0</v>
      </c>
      <c r="D71" s="1394"/>
      <c r="E71" s="1394"/>
      <c r="F71" s="412"/>
      <c r="H71" s="417"/>
    </row>
    <row r="72" spans="1:8" ht="15">
      <c r="A72" s="452" t="s">
        <v>43</v>
      </c>
      <c r="B72" s="454" t="s">
        <v>258</v>
      </c>
      <c r="C72" s="433">
        <v>0</v>
      </c>
      <c r="D72" s="412"/>
      <c r="E72" s="412"/>
      <c r="F72" s="412"/>
      <c r="H72" s="413"/>
    </row>
    <row r="73" spans="1:8">
      <c r="A73" s="452" t="s">
        <v>45</v>
      </c>
      <c r="B73" s="455" t="s">
        <v>44</v>
      </c>
      <c r="C73" s="433">
        <v>0</v>
      </c>
      <c r="D73" s="1379"/>
      <c r="E73" s="1379"/>
      <c r="F73" s="416"/>
      <c r="H73" s="417"/>
    </row>
    <row r="74" spans="1:8">
      <c r="A74" s="452" t="s">
        <v>154</v>
      </c>
      <c r="B74" s="455" t="s">
        <v>46</v>
      </c>
      <c r="C74" s="433">
        <v>0</v>
      </c>
      <c r="D74" s="1379"/>
      <c r="E74" s="1379"/>
      <c r="F74" s="416"/>
      <c r="H74" s="417"/>
    </row>
    <row r="75" spans="1:8">
      <c r="A75" s="456" t="s">
        <v>259</v>
      </c>
      <c r="B75" s="455" t="s">
        <v>104</v>
      </c>
      <c r="C75" s="433">
        <v>0</v>
      </c>
      <c r="D75" s="1379"/>
      <c r="E75" s="1379"/>
      <c r="F75" s="416"/>
      <c r="H75" s="417"/>
    </row>
    <row r="76" spans="1:8" ht="15">
      <c r="A76" s="457">
        <v>15</v>
      </c>
      <c r="B76" s="413" t="s">
        <v>260</v>
      </c>
      <c r="C76" s="458">
        <f>SUM(C56+C60+C67+C70)</f>
        <v>2471607.6199999996</v>
      </c>
      <c r="D76" s="416"/>
      <c r="E76" s="416"/>
      <c r="F76" s="416"/>
      <c r="H76" s="417"/>
    </row>
    <row r="77" spans="1:8" ht="15">
      <c r="A77" s="456"/>
      <c r="B77" s="413"/>
      <c r="C77" s="458"/>
      <c r="D77" s="416"/>
      <c r="E77" s="416"/>
      <c r="F77" s="416"/>
      <c r="H77" s="417"/>
    </row>
    <row r="78" spans="1:8" ht="15">
      <c r="A78" s="456"/>
      <c r="B78" s="459" t="s">
        <v>261</v>
      </c>
      <c r="C78" s="433"/>
      <c r="D78" s="1379"/>
      <c r="E78" s="1379"/>
      <c r="F78" s="416"/>
      <c r="H78" s="417"/>
    </row>
    <row r="79" spans="1:8">
      <c r="A79" s="456"/>
      <c r="C79" s="433"/>
      <c r="D79" s="416"/>
      <c r="E79" s="416"/>
      <c r="F79" s="416"/>
      <c r="H79" s="417"/>
    </row>
    <row r="80" spans="1:8" ht="15">
      <c r="A80" s="441">
        <v>16</v>
      </c>
      <c r="B80" s="460" t="s">
        <v>262</v>
      </c>
      <c r="C80" s="434">
        <f>SUM(C81:C85)</f>
        <v>223125.36</v>
      </c>
      <c r="D80" s="416"/>
      <c r="E80" s="416"/>
      <c r="F80" s="416"/>
      <c r="H80" s="420"/>
    </row>
    <row r="81" spans="1:8" ht="38.1" customHeight="1">
      <c r="A81" s="456" t="s">
        <v>263</v>
      </c>
      <c r="B81" s="417" t="s">
        <v>664</v>
      </c>
      <c r="C81" s="433">
        <f>38669</f>
        <v>38669</v>
      </c>
      <c r="D81" s="1392" t="s">
        <v>665</v>
      </c>
      <c r="E81" s="1393"/>
      <c r="F81" s="416"/>
      <c r="H81" s="417"/>
    </row>
    <row r="82" spans="1:8" ht="41.1" customHeight="1">
      <c r="A82" s="456" t="s">
        <v>192</v>
      </c>
      <c r="B82" s="420" t="s">
        <v>666</v>
      </c>
      <c r="C82" s="433">
        <v>54655.22</v>
      </c>
      <c r="D82" s="1390" t="s">
        <v>667</v>
      </c>
      <c r="E82" s="1391"/>
      <c r="F82" s="416"/>
      <c r="H82" s="417"/>
    </row>
    <row r="83" spans="1:8" ht="51.95" customHeight="1">
      <c r="A83" s="456" t="s">
        <v>193</v>
      </c>
      <c r="B83" s="417" t="s">
        <v>668</v>
      </c>
      <c r="C83" s="433">
        <f>9550+4500+84902.84</f>
        <v>98952.84</v>
      </c>
      <c r="D83" s="1390" t="s">
        <v>669</v>
      </c>
      <c r="E83" s="1391"/>
      <c r="F83" s="416"/>
      <c r="H83" s="417"/>
    </row>
    <row r="84" spans="1:8">
      <c r="A84" s="456" t="s">
        <v>265</v>
      </c>
      <c r="B84" s="417" t="s">
        <v>159</v>
      </c>
      <c r="C84" s="433">
        <v>0</v>
      </c>
      <c r="D84" s="416"/>
      <c r="E84" s="416"/>
      <c r="F84" s="416"/>
      <c r="H84" s="417"/>
    </row>
    <row r="85" spans="1:8">
      <c r="A85" s="456" t="s">
        <v>266</v>
      </c>
      <c r="B85" s="417" t="s">
        <v>160</v>
      </c>
      <c r="C85" s="433">
        <f>23572+7276.3</f>
        <v>30848.3</v>
      </c>
      <c r="D85" s="416"/>
      <c r="E85" s="416"/>
      <c r="F85" s="416"/>
      <c r="H85" s="417"/>
    </row>
    <row r="86" spans="1:8" ht="15">
      <c r="A86" s="457">
        <v>17</v>
      </c>
      <c r="B86" s="459" t="s">
        <v>191</v>
      </c>
      <c r="C86" s="434">
        <f>127788+3880</f>
        <v>131668</v>
      </c>
      <c r="D86" s="1379"/>
      <c r="E86" s="1379"/>
      <c r="F86" s="416"/>
      <c r="H86" s="417"/>
    </row>
    <row r="87" spans="1:8" ht="15">
      <c r="A87" s="457">
        <v>18</v>
      </c>
      <c r="B87" s="413" t="s">
        <v>267</v>
      </c>
      <c r="C87" s="448">
        <f>SUM(C88:C90)</f>
        <v>69841.049999999988</v>
      </c>
      <c r="D87" s="1379"/>
      <c r="E87" s="1379"/>
      <c r="F87" s="416"/>
      <c r="H87" s="417"/>
    </row>
    <row r="88" spans="1:8">
      <c r="A88" s="452" t="s">
        <v>268</v>
      </c>
      <c r="B88" s="461" t="s">
        <v>47</v>
      </c>
      <c r="C88" s="433">
        <v>25496.2</v>
      </c>
      <c r="D88" s="1379"/>
      <c r="E88" s="1379"/>
      <c r="F88" s="416"/>
      <c r="H88" s="417"/>
    </row>
    <row r="89" spans="1:8">
      <c r="A89" s="452" t="s">
        <v>269</v>
      </c>
      <c r="B89" s="461" t="s">
        <v>48</v>
      </c>
      <c r="C89" s="433">
        <v>13000</v>
      </c>
      <c r="D89" s="1379"/>
      <c r="E89" s="1379"/>
      <c r="F89" s="416"/>
      <c r="H89" s="417"/>
    </row>
    <row r="90" spans="1:8">
      <c r="A90" s="452" t="s">
        <v>270</v>
      </c>
      <c r="B90" s="461" t="s">
        <v>105</v>
      </c>
      <c r="C90" s="442">
        <v>31344.85</v>
      </c>
      <c r="D90" s="1379"/>
      <c r="E90" s="1379"/>
      <c r="F90" s="416"/>
      <c r="H90" s="417"/>
    </row>
    <row r="91" spans="1:8" ht="15">
      <c r="A91" s="457">
        <v>19</v>
      </c>
      <c r="B91" s="417" t="s">
        <v>205</v>
      </c>
      <c r="C91" s="442">
        <v>133741.81</v>
      </c>
      <c r="D91" s="1379"/>
      <c r="E91" s="1379"/>
      <c r="F91" s="416"/>
      <c r="H91" s="417"/>
    </row>
    <row r="92" spans="1:8" ht="43.5">
      <c r="A92" s="457">
        <v>20</v>
      </c>
      <c r="B92" s="420" t="s">
        <v>106</v>
      </c>
      <c r="C92" s="442">
        <v>926639.23</v>
      </c>
      <c r="D92" s="1379"/>
      <c r="E92" s="1379"/>
      <c r="F92" s="416"/>
      <c r="H92" s="417"/>
    </row>
    <row r="93" spans="1:8" ht="15">
      <c r="A93" s="457">
        <v>21</v>
      </c>
      <c r="B93" s="417" t="s">
        <v>103</v>
      </c>
      <c r="C93" s="442">
        <v>142810.09</v>
      </c>
      <c r="D93" s="1379"/>
      <c r="E93" s="1379"/>
      <c r="F93" s="416"/>
      <c r="H93" s="417"/>
    </row>
    <row r="94" spans="1:8" ht="66.95" customHeight="1">
      <c r="A94" s="457">
        <v>22</v>
      </c>
      <c r="B94" s="420" t="s">
        <v>107</v>
      </c>
      <c r="C94" s="462">
        <v>657920.25</v>
      </c>
      <c r="D94" s="1390" t="s">
        <v>670</v>
      </c>
      <c r="E94" s="1391"/>
      <c r="F94" s="463"/>
      <c r="H94" s="464"/>
    </row>
    <row r="95" spans="1:8" ht="29.25">
      <c r="A95" s="457">
        <v>23</v>
      </c>
      <c r="B95" s="420" t="s">
        <v>671</v>
      </c>
      <c r="C95" s="465">
        <f>SUM(C53,C76,C80,C86,C87,C91,C92,C93,C94)</f>
        <v>10271348.110000001</v>
      </c>
      <c r="D95" s="1379"/>
      <c r="E95" s="1379"/>
      <c r="F95" s="416"/>
      <c r="H95" s="417"/>
    </row>
    <row r="96" spans="1:8">
      <c r="A96" s="456" t="s">
        <v>108</v>
      </c>
      <c r="B96" s="461" t="s">
        <v>49</v>
      </c>
      <c r="C96" s="442">
        <v>2400824</v>
      </c>
      <c r="D96" s="1379"/>
      <c r="E96" s="1379"/>
      <c r="F96" s="416"/>
      <c r="H96" s="417"/>
    </row>
    <row r="97" spans="1:8" ht="15">
      <c r="A97" s="457">
        <v>24</v>
      </c>
      <c r="B97" s="417" t="s">
        <v>672</v>
      </c>
      <c r="C97" s="119">
        <f>SUM(C95,C96)</f>
        <v>12672172.110000001</v>
      </c>
      <c r="D97" s="1379"/>
      <c r="E97" s="1379"/>
      <c r="F97" s="416"/>
      <c r="H97" s="417"/>
    </row>
    <row r="99" spans="1:8" ht="15">
      <c r="A99" s="1376" t="s">
        <v>362</v>
      </c>
      <c r="B99" s="1377"/>
      <c r="C99" s="1377"/>
      <c r="D99" s="1377"/>
      <c r="E99" s="1377"/>
      <c r="F99" s="1377"/>
      <c r="G99" s="1378"/>
      <c r="H99" s="466"/>
    </row>
    <row r="100" spans="1:8" ht="15">
      <c r="A100" s="467" t="s">
        <v>86</v>
      </c>
      <c r="B100" s="467" t="s">
        <v>8</v>
      </c>
      <c r="C100" s="468" t="s">
        <v>50</v>
      </c>
      <c r="D100" s="468" t="s">
        <v>51</v>
      </c>
      <c r="E100" s="468" t="s">
        <v>52</v>
      </c>
      <c r="F100" s="468"/>
      <c r="G100" s="469" t="s">
        <v>149</v>
      </c>
      <c r="H100" s="470"/>
    </row>
    <row r="101" spans="1:8">
      <c r="A101" s="1380"/>
      <c r="B101" s="1382" t="s">
        <v>273</v>
      </c>
      <c r="C101" s="1384"/>
      <c r="D101" s="1385"/>
      <c r="E101" s="1385"/>
      <c r="F101" s="471"/>
      <c r="G101" s="1386"/>
      <c r="H101" s="466"/>
    </row>
    <row r="102" spans="1:8" ht="23.25" customHeight="1">
      <c r="A102" s="1381"/>
      <c r="B102" s="1383"/>
      <c r="C102" s="1385"/>
      <c r="D102" s="1385"/>
      <c r="E102" s="1385"/>
      <c r="F102" s="472"/>
      <c r="G102" s="1353"/>
      <c r="H102" s="466"/>
    </row>
    <row r="103" spans="1:8" ht="15">
      <c r="A103" s="467">
        <v>25</v>
      </c>
      <c r="B103" s="469" t="s">
        <v>274</v>
      </c>
      <c r="C103" s="473">
        <f>SUM(C104,C107:C110)</f>
        <v>16555</v>
      </c>
      <c r="D103" s="473">
        <f>SUM(D104,D107:D110)</f>
        <v>5414</v>
      </c>
      <c r="E103" s="474">
        <f>SUM(E104+E107+E108+E109+E110)</f>
        <v>2217629</v>
      </c>
      <c r="F103" s="474"/>
      <c r="H103" s="475"/>
    </row>
    <row r="104" spans="1:8">
      <c r="A104" s="476" t="s">
        <v>91</v>
      </c>
      <c r="B104" s="477" t="s">
        <v>53</v>
      </c>
      <c r="C104" s="473">
        <f>SUM(C105:C106)</f>
        <v>9223</v>
      </c>
      <c r="D104" s="473">
        <f>SUM(D105:D106)</f>
        <v>4168</v>
      </c>
      <c r="E104" s="474">
        <f>1419638+C104-D104</f>
        <v>1424693</v>
      </c>
      <c r="F104" s="474"/>
      <c r="H104" s="475"/>
    </row>
    <row r="105" spans="1:8">
      <c r="A105" s="476" t="s">
        <v>194</v>
      </c>
      <c r="B105" s="478" t="s">
        <v>54</v>
      </c>
      <c r="C105" s="474">
        <f>6741+517</f>
        <v>7258</v>
      </c>
      <c r="D105" s="476">
        <f>4148+20</f>
        <v>4168</v>
      </c>
      <c r="E105" s="474" t="s">
        <v>201</v>
      </c>
      <c r="F105" s="474"/>
      <c r="H105" s="475"/>
    </row>
    <row r="106" spans="1:8">
      <c r="A106" s="476" t="s">
        <v>195</v>
      </c>
      <c r="B106" s="478" t="s">
        <v>55</v>
      </c>
      <c r="C106" s="474">
        <f>1962+3</f>
        <v>1965</v>
      </c>
      <c r="D106" s="476">
        <v>0</v>
      </c>
      <c r="E106" s="474" t="s">
        <v>201</v>
      </c>
      <c r="F106" s="474"/>
      <c r="H106" s="475"/>
    </row>
    <row r="107" spans="1:8">
      <c r="A107" s="476" t="s">
        <v>93</v>
      </c>
      <c r="B107" s="477" t="s">
        <v>56</v>
      </c>
      <c r="C107" s="474">
        <f>2248+0</f>
        <v>2248</v>
      </c>
      <c r="D107" s="474">
        <f>147+4</f>
        <v>151</v>
      </c>
      <c r="E107" s="474">
        <f>306467+2248-147+520</f>
        <v>309088</v>
      </c>
      <c r="F107" s="474"/>
      <c r="H107" s="475"/>
    </row>
    <row r="108" spans="1:8">
      <c r="A108" s="476" t="s">
        <v>275</v>
      </c>
      <c r="B108" s="477" t="s">
        <v>57</v>
      </c>
      <c r="C108" s="474">
        <f>612+5</f>
        <v>617</v>
      </c>
      <c r="D108" s="474">
        <v>1</v>
      </c>
      <c r="E108" s="474">
        <f>24149+612-1+2878</f>
        <v>27638</v>
      </c>
      <c r="F108" s="474"/>
      <c r="H108" s="475"/>
    </row>
    <row r="109" spans="1:8">
      <c r="A109" s="476" t="s">
        <v>276</v>
      </c>
      <c r="B109" s="477" t="s">
        <v>58</v>
      </c>
      <c r="C109" s="474">
        <v>0</v>
      </c>
      <c r="D109" s="474">
        <v>0</v>
      </c>
      <c r="E109" s="474">
        <v>178</v>
      </c>
      <c r="F109" s="474"/>
      <c r="H109" s="475"/>
    </row>
    <row r="110" spans="1:8">
      <c r="A110" s="479" t="s">
        <v>277</v>
      </c>
      <c r="B110" s="477" t="s">
        <v>139</v>
      </c>
      <c r="C110" s="480">
        <f>4464+3</f>
        <v>4467</v>
      </c>
      <c r="D110" s="473">
        <v>1094</v>
      </c>
      <c r="E110" s="474">
        <f>452659+4464-1094+3</f>
        <v>456032</v>
      </c>
      <c r="F110" s="474"/>
      <c r="H110" s="475"/>
    </row>
    <row r="111" spans="1:8" ht="15">
      <c r="A111" s="467">
        <v>26</v>
      </c>
      <c r="B111" s="481" t="s">
        <v>278</v>
      </c>
      <c r="C111" s="474">
        <f>SUM(C112,C113)</f>
        <v>23517</v>
      </c>
      <c r="D111" s="474">
        <f>D112+D113</f>
        <v>0</v>
      </c>
      <c r="E111" s="474">
        <f>E112+E113</f>
        <v>121574</v>
      </c>
      <c r="F111" s="474"/>
      <c r="H111" s="475"/>
    </row>
    <row r="112" spans="1:8">
      <c r="A112" s="476" t="s">
        <v>92</v>
      </c>
      <c r="B112" s="477" t="s">
        <v>59</v>
      </c>
      <c r="C112" s="474">
        <v>11902</v>
      </c>
      <c r="D112" s="474">
        <v>0</v>
      </c>
      <c r="E112" s="474">
        <f>34962+C112-D112</f>
        <v>46864</v>
      </c>
      <c r="F112" s="474"/>
      <c r="H112" s="475"/>
    </row>
    <row r="113" spans="1:8">
      <c r="A113" s="479" t="s">
        <v>94</v>
      </c>
      <c r="B113" s="477" t="s">
        <v>164</v>
      </c>
      <c r="C113" s="474">
        <v>11615</v>
      </c>
      <c r="D113" s="474">
        <v>0</v>
      </c>
      <c r="E113" s="474">
        <f>63095+C113-D113</f>
        <v>74710</v>
      </c>
      <c r="F113" s="474"/>
      <c r="H113" s="475"/>
    </row>
    <row r="114" spans="1:8">
      <c r="A114" s="476"/>
      <c r="B114" s="477"/>
      <c r="C114" s="474"/>
      <c r="D114" s="474"/>
      <c r="E114" s="474"/>
      <c r="F114" s="474"/>
      <c r="H114" s="475"/>
    </row>
    <row r="115" spans="1:8" ht="45">
      <c r="A115" s="482">
        <v>27</v>
      </c>
      <c r="B115" s="483" t="s">
        <v>673</v>
      </c>
      <c r="C115" s="473">
        <f>SUM(C116+C119)</f>
        <v>772</v>
      </c>
      <c r="D115" s="473">
        <f t="shared" ref="D115:E115" si="0">SUM(D116+D119)</f>
        <v>989</v>
      </c>
      <c r="E115" s="473">
        <f t="shared" si="0"/>
        <v>77214</v>
      </c>
      <c r="F115" s="474"/>
      <c r="H115" s="475"/>
    </row>
    <row r="116" spans="1:8" ht="30">
      <c r="A116" s="467" t="s">
        <v>196</v>
      </c>
      <c r="B116" s="484" t="s">
        <v>280</v>
      </c>
      <c r="C116" s="480">
        <f>SUM(C117,C118)</f>
        <v>1</v>
      </c>
      <c r="D116" s="480">
        <f t="shared" ref="D116:E116" si="1">SUM(D117,D118)</f>
        <v>932</v>
      </c>
      <c r="E116" s="480">
        <f t="shared" si="1"/>
        <v>56195</v>
      </c>
      <c r="F116" s="476"/>
      <c r="H116" s="475"/>
    </row>
    <row r="117" spans="1:8">
      <c r="A117" s="476" t="s">
        <v>281</v>
      </c>
      <c r="B117" s="478" t="s">
        <v>124</v>
      </c>
      <c r="C117" s="476">
        <v>1</v>
      </c>
      <c r="D117" s="476">
        <f>923+9</f>
        <v>932</v>
      </c>
      <c r="E117" s="476">
        <f>2150-923+52</f>
        <v>1279</v>
      </c>
      <c r="F117" s="476"/>
      <c r="H117" s="475"/>
    </row>
    <row r="118" spans="1:8">
      <c r="A118" s="476" t="s">
        <v>282</v>
      </c>
      <c r="B118" s="478" t="s">
        <v>125</v>
      </c>
      <c r="C118" s="476">
        <v>0</v>
      </c>
      <c r="D118" s="476">
        <v>0</v>
      </c>
      <c r="E118" s="476">
        <v>54916</v>
      </c>
      <c r="F118" s="476"/>
      <c r="H118" s="485"/>
    </row>
    <row r="119" spans="1:8" ht="30">
      <c r="A119" s="467" t="s">
        <v>283</v>
      </c>
      <c r="B119" s="484" t="s">
        <v>674</v>
      </c>
      <c r="C119" s="480">
        <f>SUM(C120:C122)</f>
        <v>771</v>
      </c>
      <c r="D119" s="480">
        <f t="shared" ref="D119:E119" si="2">SUM(D120:D122)</f>
        <v>57</v>
      </c>
      <c r="E119" s="480">
        <f t="shared" si="2"/>
        <v>21019</v>
      </c>
      <c r="F119" s="476"/>
      <c r="H119" s="485"/>
    </row>
    <row r="120" spans="1:8">
      <c r="A120" s="476" t="s">
        <v>285</v>
      </c>
      <c r="B120" s="478" t="s">
        <v>675</v>
      </c>
      <c r="C120" s="476">
        <v>0</v>
      </c>
      <c r="D120" s="476">
        <v>57</v>
      </c>
      <c r="E120" s="476">
        <f>219-57</f>
        <v>162</v>
      </c>
      <c r="F120" s="476"/>
      <c r="H120" s="485"/>
    </row>
    <row r="121" spans="1:8">
      <c r="A121" s="479" t="s">
        <v>286</v>
      </c>
      <c r="B121" s="478" t="s">
        <v>676</v>
      </c>
      <c r="C121" s="476">
        <v>0</v>
      </c>
      <c r="D121" s="476">
        <v>0</v>
      </c>
      <c r="E121" s="476">
        <v>9171</v>
      </c>
      <c r="F121" s="476"/>
      <c r="H121" s="485"/>
    </row>
    <row r="122" spans="1:8">
      <c r="A122" s="476" t="s">
        <v>288</v>
      </c>
      <c r="B122" s="478" t="s">
        <v>218</v>
      </c>
      <c r="C122" s="476">
        <v>771</v>
      </c>
      <c r="D122" s="476">
        <v>0</v>
      </c>
      <c r="E122" s="476">
        <f>10915+771</f>
        <v>11686</v>
      </c>
      <c r="F122" s="476"/>
      <c r="H122" s="485"/>
    </row>
    <row r="123" spans="1:8">
      <c r="A123" s="476"/>
      <c r="B123" s="478"/>
      <c r="C123" s="476"/>
      <c r="D123" s="476"/>
      <c r="E123" s="476"/>
      <c r="F123" s="476"/>
      <c r="H123" s="485"/>
    </row>
    <row r="124" spans="1:8">
      <c r="A124" s="476" t="s">
        <v>86</v>
      </c>
      <c r="B124" s="476"/>
      <c r="C124" s="476"/>
      <c r="D124" s="476"/>
      <c r="E124" s="476"/>
      <c r="F124" s="476"/>
      <c r="H124" s="485"/>
    </row>
    <row r="125" spans="1:8" ht="15">
      <c r="A125" s="467">
        <v>28</v>
      </c>
      <c r="B125" s="469" t="s">
        <v>289</v>
      </c>
      <c r="C125" s="480">
        <f>SUM(C126:C127)</f>
        <v>4887</v>
      </c>
      <c r="D125" s="480">
        <f t="shared" ref="D125:E125" si="3">SUM(D126:D127)</f>
        <v>0</v>
      </c>
      <c r="E125" s="480">
        <f t="shared" si="3"/>
        <v>36043</v>
      </c>
      <c r="F125" s="476"/>
      <c r="H125" s="485"/>
    </row>
    <row r="126" spans="1:8">
      <c r="A126" s="476" t="s">
        <v>127</v>
      </c>
      <c r="B126" s="486" t="s">
        <v>40</v>
      </c>
      <c r="C126" s="476">
        <v>2998</v>
      </c>
      <c r="D126" s="476">
        <v>0</v>
      </c>
      <c r="E126" s="476">
        <f>19370+2998+94</f>
        <v>22462</v>
      </c>
      <c r="F126" s="476"/>
      <c r="H126" s="475"/>
    </row>
    <row r="127" spans="1:8">
      <c r="A127" s="476" t="s">
        <v>129</v>
      </c>
      <c r="B127" s="486" t="s">
        <v>41</v>
      </c>
      <c r="C127" s="476">
        <f>1780+109</f>
        <v>1889</v>
      </c>
      <c r="D127" s="476">
        <v>0</v>
      </c>
      <c r="E127" s="476">
        <f>11208+1780+593</f>
        <v>13581</v>
      </c>
      <c r="F127" s="476"/>
      <c r="H127" s="475"/>
    </row>
    <row r="128" spans="1:8">
      <c r="A128" s="476"/>
      <c r="C128" s="476"/>
      <c r="D128" s="476"/>
      <c r="E128" s="476"/>
      <c r="F128" s="476"/>
      <c r="G128" s="485"/>
      <c r="H128" s="487"/>
    </row>
    <row r="129" spans="1:8" ht="15">
      <c r="A129" s="467">
        <v>29</v>
      </c>
      <c r="B129" s="469" t="s">
        <v>290</v>
      </c>
      <c r="C129" s="476"/>
      <c r="D129" s="476"/>
      <c r="E129" s="476"/>
      <c r="F129" s="476"/>
      <c r="G129" s="485"/>
      <c r="H129" s="487"/>
    </row>
    <row r="130" spans="1:8" ht="15">
      <c r="A130" s="467" t="s">
        <v>165</v>
      </c>
      <c r="B130" s="469" t="s">
        <v>37</v>
      </c>
      <c r="C130" s="476">
        <v>236</v>
      </c>
      <c r="D130" s="476">
        <v>240</v>
      </c>
      <c r="E130" s="476">
        <f>142141+236-240+104</f>
        <v>142241</v>
      </c>
      <c r="F130" s="476"/>
      <c r="H130" s="485"/>
    </row>
    <row r="131" spans="1:8" ht="15">
      <c r="A131" s="467" t="s">
        <v>166</v>
      </c>
      <c r="B131" s="469" t="s">
        <v>79</v>
      </c>
      <c r="C131" s="476">
        <v>87</v>
      </c>
      <c r="D131" s="476">
        <v>0</v>
      </c>
      <c r="E131" s="476">
        <f>11698+C131</f>
        <v>11785</v>
      </c>
      <c r="F131" s="476"/>
      <c r="G131" s="485"/>
      <c r="H131" s="470"/>
    </row>
    <row r="132" spans="1:8" ht="15">
      <c r="A132" s="467" t="s">
        <v>291</v>
      </c>
      <c r="B132" s="488" t="s">
        <v>222</v>
      </c>
      <c r="C132" s="467">
        <f>E132-6711.33</f>
        <v>267</v>
      </c>
      <c r="D132" s="467">
        <v>0</v>
      </c>
      <c r="E132" s="467">
        <v>6978.33</v>
      </c>
      <c r="F132" s="467"/>
      <c r="H132" s="485"/>
    </row>
    <row r="133" spans="1:8" ht="15">
      <c r="A133" s="467" t="s">
        <v>292</v>
      </c>
      <c r="B133" s="488" t="s">
        <v>293</v>
      </c>
      <c r="C133" s="467">
        <f>C134+C135</f>
        <v>6951</v>
      </c>
      <c r="D133" s="467">
        <f t="shared" ref="D133:E133" si="4">D134+D135</f>
        <v>6465</v>
      </c>
      <c r="E133" s="467">
        <f t="shared" si="4"/>
        <v>4645583</v>
      </c>
      <c r="F133" s="467"/>
      <c r="H133" s="485"/>
    </row>
    <row r="134" spans="1:8" ht="15">
      <c r="A134" s="467" t="s">
        <v>294</v>
      </c>
      <c r="B134" s="488" t="s">
        <v>223</v>
      </c>
      <c r="C134" s="467">
        <f>3710+1300</f>
        <v>5010</v>
      </c>
      <c r="D134" s="467">
        <f>6401+64</f>
        <v>6465</v>
      </c>
      <c r="E134" s="467">
        <f>4641619+C134-D134</f>
        <v>4640164</v>
      </c>
      <c r="F134" s="467"/>
      <c r="G134" s="469"/>
      <c r="H134" s="487"/>
    </row>
    <row r="135" spans="1:8" ht="15">
      <c r="A135" s="467" t="s">
        <v>295</v>
      </c>
      <c r="B135" s="489" t="s">
        <v>224</v>
      </c>
      <c r="C135" s="467">
        <v>1941</v>
      </c>
      <c r="D135" s="467">
        <v>0</v>
      </c>
      <c r="E135" s="467">
        <f>3478+C135-D135</f>
        <v>5419</v>
      </c>
      <c r="F135" s="467"/>
      <c r="G135" s="469"/>
      <c r="H135" s="466"/>
    </row>
    <row r="136" spans="1:8" ht="15">
      <c r="A136" s="467" t="s">
        <v>296</v>
      </c>
      <c r="B136" s="489" t="s">
        <v>225</v>
      </c>
      <c r="C136" s="467" t="s">
        <v>677</v>
      </c>
      <c r="D136" s="467">
        <v>5981</v>
      </c>
      <c r="E136" s="467">
        <f>165000-D136</f>
        <v>159019</v>
      </c>
      <c r="F136" s="467"/>
      <c r="G136" s="469" t="s">
        <v>678</v>
      </c>
      <c r="H136" s="487"/>
    </row>
    <row r="137" spans="1:8" ht="15">
      <c r="A137" s="476"/>
      <c r="B137" s="469" t="s">
        <v>297</v>
      </c>
      <c r="C137" s="476"/>
      <c r="D137" s="476"/>
      <c r="E137" s="476"/>
      <c r="F137" s="476"/>
      <c r="G137" s="485"/>
      <c r="H137" s="487"/>
    </row>
    <row r="138" spans="1:8" ht="15">
      <c r="A138" s="490" t="s">
        <v>298</v>
      </c>
      <c r="B138" s="489" t="s">
        <v>197</v>
      </c>
      <c r="C138" s="467">
        <v>2</v>
      </c>
      <c r="D138" s="467">
        <v>0</v>
      </c>
      <c r="E138" s="467">
        <v>9</v>
      </c>
      <c r="F138" s="467"/>
      <c r="G138" s="469"/>
      <c r="H138" s="487"/>
    </row>
    <row r="139" spans="1:8" ht="15">
      <c r="A139" s="490" t="s">
        <v>299</v>
      </c>
      <c r="B139" s="489" t="s">
        <v>198</v>
      </c>
      <c r="C139" s="467">
        <v>0</v>
      </c>
      <c r="D139" s="467">
        <v>5500</v>
      </c>
      <c r="E139" s="467">
        <v>34000</v>
      </c>
      <c r="F139" s="467"/>
      <c r="G139" s="469" t="s">
        <v>679</v>
      </c>
      <c r="H139" s="487"/>
    </row>
    <row r="140" spans="1:8" ht="15">
      <c r="A140" s="490" t="s">
        <v>300</v>
      </c>
      <c r="B140" s="489" t="s">
        <v>199</v>
      </c>
      <c r="C140" s="467">
        <v>78</v>
      </c>
      <c r="D140" s="467">
        <v>0</v>
      </c>
      <c r="E140" s="467">
        <v>750</v>
      </c>
      <c r="F140" s="467"/>
      <c r="G140" s="469" t="s">
        <v>680</v>
      </c>
      <c r="H140" s="487"/>
    </row>
    <row r="141" spans="1:8" ht="15">
      <c r="A141" s="490" t="s">
        <v>301</v>
      </c>
      <c r="B141" s="489" t="s">
        <v>200</v>
      </c>
      <c r="C141" s="467" t="s">
        <v>201</v>
      </c>
      <c r="D141" s="467" t="s">
        <v>201</v>
      </c>
      <c r="E141" s="467" t="s">
        <v>201</v>
      </c>
      <c r="F141" s="467"/>
      <c r="G141" s="469"/>
      <c r="H141" s="487"/>
    </row>
    <row r="142" spans="1:8" ht="15">
      <c r="A142" s="467" t="s">
        <v>302</v>
      </c>
      <c r="B142" s="489" t="s">
        <v>220</v>
      </c>
      <c r="C142" s="467">
        <f>249+2</f>
        <v>251</v>
      </c>
      <c r="D142" s="467">
        <v>88</v>
      </c>
      <c r="E142" s="467">
        <v>4859</v>
      </c>
      <c r="F142" s="467"/>
      <c r="G142" s="469"/>
      <c r="H142" s="487"/>
    </row>
    <row r="143" spans="1:8" ht="15">
      <c r="A143" s="467" t="s">
        <v>303</v>
      </c>
      <c r="B143" s="489" t="s">
        <v>221</v>
      </c>
      <c r="C143" s="467">
        <v>0</v>
      </c>
      <c r="D143" s="467">
        <v>0</v>
      </c>
      <c r="E143" s="467">
        <v>939</v>
      </c>
      <c r="F143" s="467"/>
      <c r="G143" s="469"/>
      <c r="H143" s="466"/>
    </row>
    <row r="144" spans="1:8">
      <c r="A144" s="1387"/>
      <c r="B144" s="1377"/>
      <c r="C144" s="1377"/>
      <c r="D144" s="1377"/>
      <c r="E144" s="1377"/>
      <c r="F144" s="1377"/>
      <c r="G144" s="1378"/>
      <c r="H144" s="466"/>
    </row>
    <row r="145" spans="1:9" ht="15">
      <c r="A145" s="1376" t="s">
        <v>99</v>
      </c>
      <c r="B145" s="1377"/>
      <c r="C145" s="1377"/>
      <c r="D145" s="1377"/>
      <c r="E145" s="1377"/>
      <c r="F145" s="1377"/>
      <c r="G145" s="1377"/>
      <c r="H145" s="491"/>
      <c r="I145" s="466"/>
    </row>
    <row r="147" spans="1:9" ht="15">
      <c r="A147" s="490">
        <v>30</v>
      </c>
      <c r="B147" s="469" t="s">
        <v>304</v>
      </c>
      <c r="C147" s="492">
        <f>SUM(C148:C149)</f>
        <v>4315466</v>
      </c>
    </row>
    <row r="148" spans="1:9">
      <c r="A148" s="479" t="s">
        <v>169</v>
      </c>
      <c r="B148" s="485" t="s">
        <v>167</v>
      </c>
      <c r="C148" s="493">
        <f>1785688+305990</f>
        <v>2091678</v>
      </c>
    </row>
    <row r="149" spans="1:9">
      <c r="A149" s="479" t="s">
        <v>171</v>
      </c>
      <c r="B149" s="485" t="s">
        <v>168</v>
      </c>
      <c r="C149" s="493">
        <v>2223788</v>
      </c>
    </row>
    <row r="150" spans="1:9" ht="30">
      <c r="A150" s="490">
        <v>31</v>
      </c>
      <c r="B150" s="483" t="s">
        <v>681</v>
      </c>
      <c r="C150" s="493"/>
    </row>
    <row r="151" spans="1:9">
      <c r="A151" s="479" t="s">
        <v>137</v>
      </c>
      <c r="B151" s="485" t="s">
        <v>170</v>
      </c>
      <c r="C151" s="493">
        <v>793198</v>
      </c>
    </row>
    <row r="152" spans="1:9">
      <c r="A152" s="479" t="s">
        <v>138</v>
      </c>
      <c r="B152" s="485" t="s">
        <v>172</v>
      </c>
      <c r="C152" s="493">
        <v>1672140</v>
      </c>
    </row>
    <row r="153" spans="1:9">
      <c r="A153" s="479"/>
      <c r="B153" s="485"/>
      <c r="C153" s="493"/>
    </row>
    <row r="154" spans="1:9" ht="15">
      <c r="A154" s="467"/>
      <c r="B154" s="1388" t="s">
        <v>306</v>
      </c>
      <c r="C154" s="1389"/>
    </row>
    <row r="155" spans="1:9" ht="15">
      <c r="A155" s="467">
        <v>32</v>
      </c>
      <c r="B155" s="494" t="s">
        <v>307</v>
      </c>
      <c r="C155" s="480">
        <f>SUM(C156,C157,C163)</f>
        <v>488802</v>
      </c>
      <c r="E155" s="480"/>
    </row>
    <row r="156" spans="1:9">
      <c r="A156" s="476" t="s">
        <v>308</v>
      </c>
      <c r="B156" s="495" t="s">
        <v>69</v>
      </c>
      <c r="C156" s="476">
        <f>2148+32+194387+880</f>
        <v>197447</v>
      </c>
      <c r="E156" s="476"/>
      <c r="H156" s="496"/>
    </row>
    <row r="157" spans="1:9">
      <c r="A157" s="479" t="s">
        <v>309</v>
      </c>
      <c r="B157" s="495" t="s">
        <v>70</v>
      </c>
      <c r="C157" s="476">
        <v>62095</v>
      </c>
      <c r="H157" s="497"/>
    </row>
    <row r="158" spans="1:9" ht="15">
      <c r="A158" s="467">
        <v>33</v>
      </c>
      <c r="B158" s="498" t="s">
        <v>71</v>
      </c>
      <c r="C158" s="476">
        <f>125099+1537+2650+3848+50+19734</f>
        <v>152918</v>
      </c>
      <c r="E158" s="476"/>
      <c r="H158" s="496"/>
    </row>
    <row r="159" spans="1:9" ht="15">
      <c r="A159" s="467">
        <v>34</v>
      </c>
      <c r="B159" s="494" t="s">
        <v>310</v>
      </c>
      <c r="C159" s="480"/>
      <c r="E159" s="480"/>
    </row>
    <row r="160" spans="1:9">
      <c r="A160" s="476" t="s">
        <v>173</v>
      </c>
      <c r="B160" s="495" t="s">
        <v>72</v>
      </c>
      <c r="C160" s="476">
        <f>195+25</f>
        <v>220</v>
      </c>
      <c r="H160" s="497"/>
    </row>
    <row r="161" spans="1:8">
      <c r="A161" s="479" t="s">
        <v>175</v>
      </c>
      <c r="B161" s="495" t="s">
        <v>73</v>
      </c>
      <c r="C161" s="476">
        <f>1875+50</f>
        <v>1925</v>
      </c>
      <c r="H161" s="497"/>
    </row>
    <row r="162" spans="1:8">
      <c r="A162" s="479" t="s">
        <v>177</v>
      </c>
      <c r="B162" s="495" t="s">
        <v>214</v>
      </c>
      <c r="C162" s="476">
        <v>5</v>
      </c>
      <c r="H162" s="497"/>
    </row>
    <row r="163" spans="1:8" ht="15">
      <c r="A163" s="499">
        <v>35</v>
      </c>
      <c r="B163" s="494" t="s">
        <v>311</v>
      </c>
      <c r="C163" s="480">
        <f>SUM(C164:C166)</f>
        <v>229260</v>
      </c>
      <c r="E163" s="480"/>
      <c r="H163" s="496"/>
    </row>
    <row r="164" spans="1:8">
      <c r="A164" s="500" t="s">
        <v>312</v>
      </c>
      <c r="B164" s="498" t="s">
        <v>174</v>
      </c>
      <c r="C164" s="476">
        <f>29117+9258</f>
        <v>38375</v>
      </c>
      <c r="H164" s="497"/>
    </row>
    <row r="165" spans="1:8">
      <c r="A165" s="479" t="s">
        <v>313</v>
      </c>
      <c r="B165" s="498" t="s">
        <v>176</v>
      </c>
      <c r="C165" s="476">
        <v>181267</v>
      </c>
      <c r="H165" s="497"/>
    </row>
    <row r="166" spans="1:8">
      <c r="A166" s="479" t="s">
        <v>314</v>
      </c>
      <c r="B166" s="498" t="s">
        <v>178</v>
      </c>
      <c r="C166" s="476">
        <f>409+9209</f>
        <v>9618</v>
      </c>
      <c r="H166" s="497"/>
    </row>
    <row r="168" spans="1:8" ht="15">
      <c r="A168" s="499"/>
      <c r="B168" s="501" t="s">
        <v>87</v>
      </c>
      <c r="C168" s="502"/>
      <c r="D168" s="502"/>
      <c r="E168" s="503"/>
      <c r="F168" s="491"/>
    </row>
    <row r="169" spans="1:8" ht="15">
      <c r="A169" s="499">
        <v>36</v>
      </c>
      <c r="B169" s="504" t="s">
        <v>74</v>
      </c>
      <c r="C169" s="505">
        <v>8082</v>
      </c>
      <c r="E169" s="506"/>
      <c r="F169" s="506"/>
      <c r="G169" s="507"/>
      <c r="H169" s="508"/>
    </row>
    <row r="170" spans="1:8" ht="15">
      <c r="A170" s="499">
        <v>37</v>
      </c>
      <c r="B170" s="498" t="s">
        <v>75</v>
      </c>
      <c r="C170" s="509">
        <v>7219</v>
      </c>
      <c r="E170" s="506"/>
      <c r="F170" s="506"/>
      <c r="G170" s="507"/>
      <c r="H170" s="508"/>
    </row>
    <row r="171" spans="1:8" ht="15">
      <c r="A171" s="499">
        <v>38</v>
      </c>
      <c r="B171" s="494" t="s">
        <v>315</v>
      </c>
      <c r="C171" s="510">
        <f>SUM(C172:C174)</f>
        <v>15301</v>
      </c>
      <c r="E171" s="511"/>
      <c r="F171" s="511"/>
      <c r="G171" s="511"/>
      <c r="H171" s="512"/>
    </row>
    <row r="172" spans="1:8">
      <c r="A172" s="500" t="s">
        <v>118</v>
      </c>
      <c r="B172" s="495" t="s">
        <v>208</v>
      </c>
      <c r="C172" s="505">
        <v>7121</v>
      </c>
      <c r="E172" s="506"/>
      <c r="F172" s="506"/>
      <c r="G172" s="507"/>
      <c r="H172" s="508"/>
    </row>
    <row r="173" spans="1:8">
      <c r="A173" s="500" t="s">
        <v>119</v>
      </c>
      <c r="B173" s="495" t="s">
        <v>209</v>
      </c>
      <c r="C173" s="513">
        <v>1399</v>
      </c>
      <c r="E173" s="506"/>
      <c r="F173" s="506"/>
      <c r="G173" s="507"/>
      <c r="H173" s="508"/>
    </row>
    <row r="174" spans="1:8">
      <c r="A174" s="479" t="s">
        <v>120</v>
      </c>
      <c r="B174" s="495" t="s">
        <v>210</v>
      </c>
      <c r="C174" s="513">
        <v>6781</v>
      </c>
      <c r="E174" s="506"/>
      <c r="F174" s="506"/>
      <c r="G174" s="507"/>
      <c r="H174" s="508"/>
    </row>
    <row r="175" spans="1:8" ht="15">
      <c r="A175" s="499">
        <v>39</v>
      </c>
      <c r="B175" s="494" t="s">
        <v>316</v>
      </c>
      <c r="C175" s="510">
        <f>SUM(C176:C178)</f>
        <v>28940</v>
      </c>
      <c r="E175" s="506"/>
      <c r="F175" s="506"/>
      <c r="G175" s="507"/>
      <c r="H175" s="508"/>
    </row>
    <row r="176" spans="1:8">
      <c r="A176" s="500" t="s">
        <v>317</v>
      </c>
      <c r="B176" s="495" t="s">
        <v>76</v>
      </c>
      <c r="C176" s="513">
        <v>6041</v>
      </c>
      <c r="E176" s="506"/>
      <c r="F176" s="506"/>
      <c r="G176" s="507"/>
      <c r="H176" s="508"/>
    </row>
    <row r="177" spans="1:8">
      <c r="A177" s="500" t="s">
        <v>318</v>
      </c>
      <c r="B177" s="495" t="s">
        <v>77</v>
      </c>
      <c r="C177" s="513">
        <v>4159</v>
      </c>
      <c r="E177" s="506"/>
      <c r="F177" s="506"/>
      <c r="G177" s="507"/>
      <c r="H177" s="508"/>
    </row>
    <row r="178" spans="1:8">
      <c r="A178" s="479" t="s">
        <v>319</v>
      </c>
      <c r="B178" s="495" t="s">
        <v>78</v>
      </c>
      <c r="C178" s="513">
        <v>18740</v>
      </c>
      <c r="E178" s="506"/>
      <c r="F178" s="506"/>
      <c r="G178" s="507"/>
      <c r="H178" s="508"/>
    </row>
    <row r="179" spans="1:8">
      <c r="A179" s="500"/>
      <c r="B179" s="495"/>
      <c r="C179" s="513"/>
      <c r="E179" s="506"/>
      <c r="F179" s="506"/>
      <c r="G179" s="507"/>
      <c r="H179" s="508"/>
    </row>
    <row r="180" spans="1:8" ht="30">
      <c r="A180" s="500"/>
      <c r="B180" s="514" t="s">
        <v>88</v>
      </c>
      <c r="C180" s="513"/>
      <c r="E180" s="506"/>
      <c r="F180" s="506"/>
      <c r="G180" s="507"/>
      <c r="H180" s="508"/>
    </row>
    <row r="181" spans="1:8" ht="15">
      <c r="A181" s="499">
        <v>40</v>
      </c>
      <c r="B181" s="498" t="s">
        <v>74</v>
      </c>
      <c r="C181" s="513">
        <v>1492</v>
      </c>
      <c r="E181" s="506"/>
      <c r="F181" s="506"/>
      <c r="G181" s="507"/>
      <c r="H181" s="508"/>
    </row>
    <row r="182" spans="1:8" ht="15">
      <c r="A182" s="499">
        <v>41</v>
      </c>
      <c r="B182" s="498" t="s">
        <v>75</v>
      </c>
      <c r="C182" s="513">
        <v>12435</v>
      </c>
      <c r="E182" s="506"/>
      <c r="F182" s="506"/>
      <c r="G182" s="507"/>
      <c r="H182" s="508"/>
    </row>
    <row r="183" spans="1:8" ht="15">
      <c r="A183" s="499">
        <v>42</v>
      </c>
      <c r="B183" s="494" t="s">
        <v>320</v>
      </c>
      <c r="C183" s="510">
        <f>SUM(C184:C186)</f>
        <v>13927</v>
      </c>
      <c r="E183" s="506"/>
      <c r="F183" s="506"/>
      <c r="G183" s="507"/>
      <c r="H183" s="508"/>
    </row>
    <row r="184" spans="1:8">
      <c r="A184" s="500" t="s">
        <v>96</v>
      </c>
      <c r="B184" s="495" t="s">
        <v>211</v>
      </c>
      <c r="C184" s="509">
        <v>4098</v>
      </c>
      <c r="E184" s="506"/>
      <c r="F184" s="506"/>
      <c r="G184" s="507"/>
      <c r="H184" s="508"/>
    </row>
    <row r="185" spans="1:8">
      <c r="A185" s="500" t="s">
        <v>97</v>
      </c>
      <c r="B185" s="495" t="s">
        <v>212</v>
      </c>
      <c r="C185" s="513">
        <v>947</v>
      </c>
      <c r="E185" s="515"/>
      <c r="F185" s="506"/>
      <c r="G185" s="507"/>
      <c r="H185" s="516"/>
    </row>
    <row r="186" spans="1:8">
      <c r="A186" s="479" t="s">
        <v>98</v>
      </c>
      <c r="B186" s="495" t="s">
        <v>213</v>
      </c>
      <c r="C186" s="476">
        <v>8882</v>
      </c>
      <c r="E186" s="476"/>
      <c r="F186" s="506"/>
      <c r="H186" s="517"/>
    </row>
    <row r="187" spans="1:8" ht="15">
      <c r="A187" s="499">
        <v>43</v>
      </c>
      <c r="B187" s="494" t="s">
        <v>321</v>
      </c>
      <c r="C187" s="510">
        <f>SUM(C188:C190)</f>
        <v>13942</v>
      </c>
      <c r="E187" s="476"/>
      <c r="F187" s="506"/>
      <c r="H187" s="517"/>
    </row>
    <row r="188" spans="1:8">
      <c r="A188" s="500" t="s">
        <v>100</v>
      </c>
      <c r="B188" s="495" t="s">
        <v>76</v>
      </c>
      <c r="C188" s="513">
        <v>2739</v>
      </c>
      <c r="E188" s="476"/>
      <c r="F188" s="506"/>
      <c r="H188" s="517"/>
    </row>
    <row r="189" spans="1:8">
      <c r="A189" s="500" t="s">
        <v>101</v>
      </c>
      <c r="B189" s="495" t="s">
        <v>77</v>
      </c>
      <c r="C189" s="513">
        <v>3864</v>
      </c>
      <c r="E189" s="476"/>
      <c r="F189" s="506"/>
      <c r="H189" s="517"/>
    </row>
    <row r="190" spans="1:8">
      <c r="A190" s="476" t="s">
        <v>102</v>
      </c>
      <c r="B190" s="477" t="s">
        <v>78</v>
      </c>
      <c r="C190" s="513">
        <v>7339</v>
      </c>
      <c r="E190" s="476"/>
      <c r="F190" s="506"/>
      <c r="H190" s="517"/>
    </row>
    <row r="191" spans="1:8">
      <c r="D191" s="518"/>
      <c r="E191" s="519"/>
    </row>
    <row r="192" spans="1:8" ht="15">
      <c r="A192" s="476"/>
      <c r="B192" s="469" t="s">
        <v>682</v>
      </c>
      <c r="C192" s="513" t="s">
        <v>90</v>
      </c>
      <c r="D192" s="1385" t="s">
        <v>81</v>
      </c>
      <c r="E192" s="1385"/>
      <c r="F192" s="491"/>
    </row>
    <row r="193" spans="1:15">
      <c r="A193" s="476"/>
      <c r="B193" s="485"/>
      <c r="C193" s="513"/>
      <c r="D193" s="476" t="s">
        <v>82</v>
      </c>
      <c r="E193" s="476" t="s">
        <v>83</v>
      </c>
      <c r="F193" s="506"/>
    </row>
    <row r="194" spans="1:15" ht="15">
      <c r="A194" s="467">
        <v>44</v>
      </c>
      <c r="B194" s="469" t="s">
        <v>683</v>
      </c>
      <c r="C194" s="510">
        <f>SUM(C195:C197)</f>
        <v>605</v>
      </c>
      <c r="D194" s="480">
        <f>SUM(D195:D197)</f>
        <v>0</v>
      </c>
      <c r="E194" s="480">
        <f>SUM(E195:E197)</f>
        <v>0</v>
      </c>
      <c r="F194" s="520"/>
    </row>
    <row r="195" spans="1:15">
      <c r="A195" s="476" t="s">
        <v>121</v>
      </c>
      <c r="B195" s="477" t="s">
        <v>181</v>
      </c>
      <c r="C195" s="513">
        <f>270+10</f>
        <v>280</v>
      </c>
      <c r="D195" s="476">
        <v>0</v>
      </c>
      <c r="E195" s="476">
        <v>0</v>
      </c>
      <c r="F195" s="506"/>
    </row>
    <row r="196" spans="1:15">
      <c r="A196" s="476" t="s">
        <v>122</v>
      </c>
      <c r="B196" s="477" t="s">
        <v>182</v>
      </c>
      <c r="C196" s="513">
        <v>268</v>
      </c>
      <c r="D196" s="476">
        <v>0</v>
      </c>
      <c r="E196" s="476">
        <v>0</v>
      </c>
      <c r="F196" s="506"/>
    </row>
    <row r="197" spans="1:15">
      <c r="A197" s="479" t="s">
        <v>123</v>
      </c>
      <c r="B197" s="477" t="s">
        <v>180</v>
      </c>
      <c r="C197" s="513">
        <f>55+2</f>
        <v>57</v>
      </c>
      <c r="D197" s="476">
        <v>0</v>
      </c>
      <c r="E197" s="476">
        <v>0</v>
      </c>
      <c r="F197" s="506"/>
    </row>
    <row r="198" spans="1:15" ht="15">
      <c r="A198" s="467">
        <v>45</v>
      </c>
      <c r="B198" s="469" t="s">
        <v>684</v>
      </c>
      <c r="C198" s="510">
        <f>SUM(C199:C201)</f>
        <v>10961</v>
      </c>
      <c r="D198" s="480">
        <f>SUM(D199:D201)</f>
        <v>0</v>
      </c>
      <c r="E198" s="480">
        <f>SUM(E199:E201)</f>
        <v>0</v>
      </c>
      <c r="F198" s="520"/>
    </row>
    <row r="199" spans="1:15">
      <c r="A199" s="476" t="s">
        <v>325</v>
      </c>
      <c r="B199" s="477" t="s">
        <v>80</v>
      </c>
      <c r="C199" s="513">
        <f>8428+100</f>
        <v>8528</v>
      </c>
      <c r="D199" s="476">
        <v>0</v>
      </c>
      <c r="E199" s="476">
        <v>0</v>
      </c>
      <c r="F199" s="506"/>
    </row>
    <row r="200" spans="1:15">
      <c r="A200" s="476" t="s">
        <v>326</v>
      </c>
      <c r="B200" s="477" t="s">
        <v>60</v>
      </c>
      <c r="C200" s="513">
        <v>38</v>
      </c>
      <c r="D200" s="476">
        <v>0</v>
      </c>
      <c r="E200" s="476">
        <v>0</v>
      </c>
      <c r="F200" s="506"/>
    </row>
    <row r="201" spans="1:15">
      <c r="A201" s="479" t="s">
        <v>327</v>
      </c>
      <c r="B201" s="477" t="s">
        <v>180</v>
      </c>
      <c r="C201" s="513">
        <v>2395</v>
      </c>
      <c r="D201" s="476">
        <v>0</v>
      </c>
      <c r="E201" s="476">
        <v>0</v>
      </c>
      <c r="F201" s="506"/>
    </row>
    <row r="202" spans="1:15">
      <c r="A202" s="521"/>
      <c r="B202" s="522"/>
      <c r="C202" s="506"/>
      <c r="D202" s="523"/>
      <c r="E202" s="524"/>
      <c r="F202" s="506"/>
    </row>
    <row r="203" spans="1:15" ht="15">
      <c r="A203" s="467">
        <v>46</v>
      </c>
      <c r="B203" s="485" t="s">
        <v>203</v>
      </c>
      <c r="C203" s="513">
        <v>0</v>
      </c>
      <c r="D203" s="476"/>
      <c r="E203" s="476"/>
      <c r="F203" s="506"/>
    </row>
    <row r="204" spans="1:15" ht="15">
      <c r="A204" s="467">
        <v>47</v>
      </c>
      <c r="B204" s="525" t="s">
        <v>204</v>
      </c>
      <c r="C204" s="513">
        <v>0</v>
      </c>
      <c r="D204" s="476"/>
      <c r="E204" s="476"/>
      <c r="F204" s="506"/>
    </row>
    <row r="205" spans="1:15" ht="15">
      <c r="A205" s="467">
        <v>48</v>
      </c>
      <c r="B205" s="485" t="s">
        <v>179</v>
      </c>
      <c r="C205" s="513">
        <f>3+4</f>
        <v>7</v>
      </c>
      <c r="D205" s="476"/>
      <c r="E205" s="476"/>
      <c r="F205" s="506"/>
    </row>
    <row r="206" spans="1:15" ht="15">
      <c r="A206" s="467">
        <v>49</v>
      </c>
      <c r="B206" s="485" t="s">
        <v>61</v>
      </c>
      <c r="C206" s="513">
        <f>23+30</f>
        <v>53</v>
      </c>
      <c r="D206" s="476"/>
      <c r="E206" s="476"/>
      <c r="F206" s="506"/>
    </row>
    <row r="207" spans="1:15" ht="15.75" customHeight="1">
      <c r="A207" s="526">
        <v>50</v>
      </c>
      <c r="B207" s="527" t="s">
        <v>202</v>
      </c>
      <c r="C207" s="1115">
        <v>725</v>
      </c>
      <c r="D207" s="1116"/>
      <c r="E207" s="1116"/>
      <c r="F207" s="1116"/>
      <c r="G207" s="1116"/>
      <c r="H207" s="1116"/>
      <c r="I207" s="528"/>
      <c r="J207" s="528"/>
      <c r="K207" s="1118" t="s">
        <v>905</v>
      </c>
      <c r="L207" s="528"/>
      <c r="M207" s="528"/>
      <c r="N207" s="528"/>
      <c r="O207" s="528"/>
    </row>
    <row r="208" spans="1:15" ht="15">
      <c r="A208" s="529"/>
      <c r="B208" s="530"/>
      <c r="C208" s="529"/>
      <c r="D208" s="529"/>
      <c r="E208" s="529"/>
      <c r="F208" s="529"/>
      <c r="K208" s="401" t="s">
        <v>906</v>
      </c>
    </row>
    <row r="209" spans="1:11" ht="15">
      <c r="A209" s="529"/>
      <c r="B209" s="469" t="s">
        <v>364</v>
      </c>
      <c r="C209" s="529"/>
      <c r="D209" s="529"/>
      <c r="E209" s="529"/>
      <c r="F209" s="529"/>
      <c r="K209" s="401" t="s">
        <v>907</v>
      </c>
    </row>
    <row r="210" spans="1:11" ht="29.25">
      <c r="A210" s="531" t="s">
        <v>86</v>
      </c>
      <c r="B210" s="506" t="s">
        <v>8</v>
      </c>
      <c r="C210" s="493" t="s">
        <v>50</v>
      </c>
      <c r="D210" s="493" t="s">
        <v>51</v>
      </c>
      <c r="E210" s="493" t="s">
        <v>110</v>
      </c>
      <c r="F210" s="529"/>
      <c r="K210" s="401" t="s">
        <v>908</v>
      </c>
    </row>
    <row r="211" spans="1:11" s="532" customFormat="1" ht="15">
      <c r="A211" s="490">
        <v>51</v>
      </c>
      <c r="B211" s="469" t="s">
        <v>328</v>
      </c>
      <c r="C211" s="480">
        <f>C212+C214+C216+C218+C220+C222+C224+C226</f>
        <v>152</v>
      </c>
      <c r="D211" s="480">
        <f t="shared" ref="D211:E211" si="5">D212+D214+D216+D218+D220+D222+D224+D226</f>
        <v>58</v>
      </c>
      <c r="E211" s="480">
        <f t="shared" si="5"/>
        <v>1482</v>
      </c>
      <c r="F211" s="485"/>
    </row>
    <row r="212" spans="1:11" s="532" customFormat="1">
      <c r="A212" s="479" t="s">
        <v>329</v>
      </c>
      <c r="B212" s="477" t="s">
        <v>226</v>
      </c>
      <c r="C212" s="493">
        <v>6</v>
      </c>
      <c r="D212" s="493">
        <v>16</v>
      </c>
      <c r="E212" s="493">
        <f>790+C212-D212+32</f>
        <v>812</v>
      </c>
      <c r="F212" s="485"/>
      <c r="K212" s="532" t="s">
        <v>909</v>
      </c>
    </row>
    <row r="213" spans="1:11" s="532" customFormat="1">
      <c r="A213" s="479" t="s">
        <v>330</v>
      </c>
      <c r="B213" s="478" t="s">
        <v>128</v>
      </c>
      <c r="C213" s="493">
        <v>0</v>
      </c>
      <c r="D213" s="493">
        <v>0</v>
      </c>
      <c r="E213" s="493">
        <v>0</v>
      </c>
      <c r="F213" s="485"/>
    </row>
    <row r="214" spans="1:11" s="532" customFormat="1">
      <c r="A214" s="479" t="s">
        <v>331</v>
      </c>
      <c r="B214" s="477" t="s">
        <v>227</v>
      </c>
      <c r="C214" s="493">
        <v>101</v>
      </c>
      <c r="D214" s="493">
        <v>9</v>
      </c>
      <c r="E214" s="493">
        <f>159+C214-D214</f>
        <v>251</v>
      </c>
      <c r="F214" s="485"/>
      <c r="K214" s="532" t="s">
        <v>910</v>
      </c>
    </row>
    <row r="215" spans="1:11" s="532" customFormat="1">
      <c r="A215" s="479" t="s">
        <v>332</v>
      </c>
      <c r="B215" s="478" t="s">
        <v>130</v>
      </c>
      <c r="C215" s="493">
        <v>0</v>
      </c>
      <c r="D215" s="493">
        <v>0</v>
      </c>
      <c r="E215" s="493">
        <v>0</v>
      </c>
      <c r="F215" s="485"/>
      <c r="K215" s="532" t="s">
        <v>911</v>
      </c>
    </row>
    <row r="216" spans="1:11" s="532" customFormat="1">
      <c r="A216" s="479" t="s">
        <v>333</v>
      </c>
      <c r="B216" s="477" t="s">
        <v>232</v>
      </c>
      <c r="C216" s="493">
        <v>0</v>
      </c>
      <c r="D216" s="493">
        <v>0</v>
      </c>
      <c r="E216" s="493">
        <f>6+1</f>
        <v>7</v>
      </c>
      <c r="F216" s="485"/>
    </row>
    <row r="217" spans="1:11" s="532" customFormat="1">
      <c r="A217" s="479" t="s">
        <v>334</v>
      </c>
      <c r="B217" s="478" t="s">
        <v>131</v>
      </c>
      <c r="C217" s="493">
        <v>0</v>
      </c>
      <c r="D217" s="493">
        <v>0</v>
      </c>
      <c r="E217" s="493">
        <v>0</v>
      </c>
      <c r="F217" s="485"/>
      <c r="K217" s="532" t="s">
        <v>912</v>
      </c>
    </row>
    <row r="218" spans="1:11" s="532" customFormat="1">
      <c r="A218" s="479" t="s">
        <v>335</v>
      </c>
      <c r="B218" s="477" t="s">
        <v>233</v>
      </c>
      <c r="C218" s="493">
        <v>30</v>
      </c>
      <c r="D218" s="493">
        <v>17</v>
      </c>
      <c r="E218" s="493">
        <f>65+C218-D218</f>
        <v>78</v>
      </c>
      <c r="F218" s="485"/>
    </row>
    <row r="219" spans="1:11" s="532" customFormat="1">
      <c r="A219" s="479" t="s">
        <v>336</v>
      </c>
      <c r="B219" s="478" t="s">
        <v>132</v>
      </c>
      <c r="C219" s="493">
        <v>0</v>
      </c>
      <c r="D219" s="493">
        <v>0</v>
      </c>
      <c r="E219" s="493">
        <v>0</v>
      </c>
      <c r="F219" s="485"/>
      <c r="K219" s="532" t="s">
        <v>913</v>
      </c>
    </row>
    <row r="220" spans="1:11" s="532" customFormat="1">
      <c r="A220" s="479" t="s">
        <v>337</v>
      </c>
      <c r="B220" s="477" t="s">
        <v>234</v>
      </c>
      <c r="C220" s="493">
        <v>2</v>
      </c>
      <c r="D220" s="493">
        <f>4+2</f>
        <v>6</v>
      </c>
      <c r="E220" s="493">
        <f>141+2-6+3</f>
        <v>140</v>
      </c>
      <c r="F220" s="485"/>
      <c r="H220" s="533"/>
    </row>
    <row r="221" spans="1:11" s="532" customFormat="1">
      <c r="A221" s="479" t="s">
        <v>338</v>
      </c>
      <c r="B221" s="478" t="s">
        <v>133</v>
      </c>
      <c r="C221" s="493">
        <v>0</v>
      </c>
      <c r="D221" s="493">
        <v>0</v>
      </c>
      <c r="E221" s="493">
        <v>3</v>
      </c>
      <c r="F221" s="485"/>
    </row>
    <row r="222" spans="1:11" s="532" customFormat="1">
      <c r="A222" s="479" t="s">
        <v>339</v>
      </c>
      <c r="B222" s="477" t="s">
        <v>235</v>
      </c>
      <c r="C222" s="493">
        <v>2</v>
      </c>
      <c r="D222" s="493">
        <v>0</v>
      </c>
      <c r="E222" s="493">
        <f>12+1</f>
        <v>13</v>
      </c>
      <c r="F222" s="485"/>
    </row>
    <row r="223" spans="1:11" s="532" customFormat="1">
      <c r="A223" s="479" t="s">
        <v>340</v>
      </c>
      <c r="B223" s="478" t="s">
        <v>134</v>
      </c>
      <c r="C223" s="493">
        <v>0</v>
      </c>
      <c r="D223" s="493">
        <v>0</v>
      </c>
      <c r="E223" s="493">
        <v>0</v>
      </c>
      <c r="F223" s="485"/>
    </row>
    <row r="224" spans="1:11" s="532" customFormat="1">
      <c r="A224" s="479" t="s">
        <v>341</v>
      </c>
      <c r="B224" s="477" t="s">
        <v>236</v>
      </c>
      <c r="C224" s="493">
        <v>8</v>
      </c>
      <c r="D224" s="493">
        <v>0</v>
      </c>
      <c r="E224" s="493">
        <f>66+8</f>
        <v>74</v>
      </c>
      <c r="F224" s="485"/>
    </row>
    <row r="225" spans="1:8" s="532" customFormat="1">
      <c r="A225" s="479" t="s">
        <v>342</v>
      </c>
      <c r="B225" s="478" t="s">
        <v>135</v>
      </c>
      <c r="C225" s="493">
        <v>0</v>
      </c>
      <c r="D225" s="493">
        <v>0</v>
      </c>
      <c r="E225" s="493">
        <v>0</v>
      </c>
      <c r="F225" s="485"/>
    </row>
    <row r="226" spans="1:8" s="532" customFormat="1">
      <c r="A226" s="479" t="s">
        <v>343</v>
      </c>
      <c r="B226" s="477" t="s">
        <v>237</v>
      </c>
      <c r="C226" s="493">
        <v>3</v>
      </c>
      <c r="D226" s="493">
        <v>10</v>
      </c>
      <c r="E226" s="493">
        <f>113+3-10+1</f>
        <v>107</v>
      </c>
      <c r="F226" s="485"/>
    </row>
    <row r="227" spans="1:8" s="532" customFormat="1" ht="28.5">
      <c r="A227" s="479" t="s">
        <v>344</v>
      </c>
      <c r="B227" s="534" t="s">
        <v>136</v>
      </c>
      <c r="C227" s="493">
        <v>0</v>
      </c>
      <c r="D227" s="493">
        <v>0</v>
      </c>
      <c r="E227" s="493">
        <v>0</v>
      </c>
      <c r="F227" s="485"/>
    </row>
    <row r="228" spans="1:8" ht="15">
      <c r="A228" s="529"/>
      <c r="B228" s="530"/>
      <c r="C228" s="529"/>
      <c r="D228" s="529"/>
      <c r="E228" s="529"/>
      <c r="F228" s="529"/>
    </row>
    <row r="229" spans="1:8" ht="15">
      <c r="A229" s="529"/>
      <c r="B229" s="535" t="s">
        <v>345</v>
      </c>
      <c r="C229" s="478"/>
      <c r="D229" s="536"/>
      <c r="E229" s="536"/>
      <c r="F229" s="536"/>
    </row>
    <row r="230" spans="1:8" ht="29.25">
      <c r="A230" s="479" t="s">
        <v>346</v>
      </c>
      <c r="B230" s="537" t="s">
        <v>238</v>
      </c>
      <c r="C230" s="538">
        <f>209040+8736+30</f>
        <v>217806</v>
      </c>
      <c r="D230" s="529"/>
      <c r="E230" s="529"/>
      <c r="F230" s="529"/>
      <c r="G230" s="401" t="s">
        <v>685</v>
      </c>
      <c r="H230" s="539"/>
    </row>
    <row r="231" spans="1:8" ht="15">
      <c r="A231" s="479" t="s">
        <v>347</v>
      </c>
      <c r="B231" s="534" t="s">
        <v>115</v>
      </c>
      <c r="C231" s="540">
        <v>0</v>
      </c>
      <c r="D231" s="529"/>
      <c r="E231" s="529"/>
      <c r="F231" s="529"/>
    </row>
    <row r="232" spans="1:8" ht="29.25">
      <c r="A232" s="479" t="s">
        <v>348</v>
      </c>
      <c r="B232" s="537" t="s">
        <v>239</v>
      </c>
      <c r="C232" s="540">
        <f>965+1820</f>
        <v>2785</v>
      </c>
      <c r="D232" s="529"/>
      <c r="E232" s="529"/>
      <c r="F232" s="529"/>
      <c r="H232" s="539"/>
    </row>
    <row r="233" spans="1:8" ht="29.25">
      <c r="A233" s="479" t="s">
        <v>349</v>
      </c>
      <c r="B233" s="534" t="s">
        <v>116</v>
      </c>
      <c r="C233" s="540">
        <v>0</v>
      </c>
      <c r="D233" s="529"/>
      <c r="E233" s="529"/>
      <c r="F233" s="529"/>
    </row>
    <row r="234" spans="1:8" ht="29.25">
      <c r="A234" s="479" t="s">
        <v>350</v>
      </c>
      <c r="B234" s="537" t="s">
        <v>240</v>
      </c>
      <c r="C234" s="540">
        <f>276+180</f>
        <v>456</v>
      </c>
      <c r="D234" s="541"/>
      <c r="E234" s="529"/>
      <c r="F234" s="529"/>
      <c r="H234" s="539"/>
    </row>
    <row r="235" spans="1:8" ht="15">
      <c r="A235" s="479" t="s">
        <v>351</v>
      </c>
      <c r="B235" s="534" t="s">
        <v>117</v>
      </c>
      <c r="C235" s="542">
        <f>899+113</f>
        <v>1012</v>
      </c>
      <c r="D235" s="541"/>
      <c r="E235" s="529"/>
      <c r="F235" s="529"/>
    </row>
    <row r="236" spans="1:8" ht="15">
      <c r="A236" s="543"/>
      <c r="B236" s="544"/>
      <c r="C236" s="529"/>
      <c r="D236" s="529"/>
      <c r="E236" s="529"/>
      <c r="F236" s="529"/>
    </row>
    <row r="237" spans="1:8" ht="15">
      <c r="A237" s="1376" t="s">
        <v>89</v>
      </c>
      <c r="B237" s="1377"/>
      <c r="C237" s="1377"/>
      <c r="D237" s="1377"/>
      <c r="E237" s="1377"/>
      <c r="F237" s="1377"/>
      <c r="G237" s="1378"/>
      <c r="H237" s="466"/>
    </row>
    <row r="238" spans="1:8">
      <c r="A238" s="476" t="s">
        <v>86</v>
      </c>
      <c r="B238" s="476" t="s">
        <v>8</v>
      </c>
      <c r="C238" s="476" t="s">
        <v>0</v>
      </c>
      <c r="D238" s="476"/>
      <c r="E238" s="513"/>
      <c r="F238" s="513"/>
      <c r="G238" s="485"/>
      <c r="H238" s="487"/>
    </row>
    <row r="239" spans="1:8" ht="15">
      <c r="A239" s="467">
        <v>52</v>
      </c>
      <c r="B239" s="485" t="s">
        <v>62</v>
      </c>
      <c r="C239" s="476">
        <v>168</v>
      </c>
      <c r="D239" s="476"/>
      <c r="E239" s="513"/>
      <c r="F239" s="513"/>
      <c r="G239" s="485"/>
      <c r="H239" s="487"/>
    </row>
    <row r="240" spans="1:8" ht="15">
      <c r="A240" s="467">
        <v>53</v>
      </c>
      <c r="B240" s="485" t="s">
        <v>63</v>
      </c>
      <c r="C240" s="476">
        <v>74128</v>
      </c>
      <c r="D240" s="476"/>
      <c r="E240" s="513"/>
      <c r="F240" s="513"/>
      <c r="G240" s="485"/>
      <c r="H240" s="487"/>
    </row>
    <row r="241" spans="1:10" ht="15">
      <c r="A241" s="467">
        <v>54</v>
      </c>
      <c r="B241" s="485" t="s">
        <v>215</v>
      </c>
      <c r="C241" s="476">
        <v>118</v>
      </c>
      <c r="D241" s="476"/>
      <c r="E241" s="513"/>
      <c r="F241" s="513"/>
      <c r="G241" s="485"/>
      <c r="H241" s="487"/>
    </row>
    <row r="242" spans="1:10" ht="15">
      <c r="A242" s="467"/>
      <c r="B242" s="485"/>
      <c r="C242" s="476"/>
      <c r="D242" s="476"/>
      <c r="E242" s="513"/>
      <c r="F242" s="513"/>
      <c r="G242" s="485"/>
      <c r="H242" s="487"/>
    </row>
    <row r="243" spans="1:10" ht="30">
      <c r="A243" s="467"/>
      <c r="B243" s="485"/>
      <c r="C243" s="476" t="s">
        <v>140</v>
      </c>
      <c r="D243" s="476" t="s">
        <v>141</v>
      </c>
      <c r="E243" s="513" t="s">
        <v>142</v>
      </c>
      <c r="F243" s="476" t="s">
        <v>143</v>
      </c>
      <c r="G243" s="545" t="s">
        <v>686</v>
      </c>
      <c r="H243" s="546"/>
    </row>
    <row r="244" spans="1:10" ht="15">
      <c r="A244" s="467"/>
      <c r="B244" s="485"/>
      <c r="C244" s="476"/>
      <c r="D244" s="476"/>
      <c r="E244" s="513"/>
      <c r="F244" s="513"/>
      <c r="G244" s="476"/>
      <c r="H244" s="546"/>
    </row>
    <row r="245" spans="1:10" ht="15">
      <c r="A245" s="467">
        <v>55</v>
      </c>
      <c r="B245" s="469" t="s">
        <v>217</v>
      </c>
      <c r="C245" s="480">
        <f>SUM(C246:C251)</f>
        <v>1960</v>
      </c>
      <c r="D245" s="480">
        <f>SUM(D246:D251)</f>
        <v>1867</v>
      </c>
      <c r="E245" s="510">
        <f>SUM(E246:E251)</f>
        <v>137</v>
      </c>
      <c r="F245" s="510">
        <f>SUM(F246:F251)</f>
        <v>76</v>
      </c>
      <c r="G245" s="480">
        <f>SUM(C245:F245)</f>
        <v>4040</v>
      </c>
      <c r="H245" s="520"/>
    </row>
    <row r="246" spans="1:10">
      <c r="A246" s="476" t="s">
        <v>353</v>
      </c>
      <c r="B246" s="477" t="s">
        <v>64</v>
      </c>
      <c r="C246" s="476">
        <f>7+471+25+20</f>
        <v>523</v>
      </c>
      <c r="D246" s="476">
        <f>14+477</f>
        <v>491</v>
      </c>
      <c r="E246" s="513">
        <f>2+32+55</f>
        <v>89</v>
      </c>
      <c r="F246" s="513">
        <f>2+24</f>
        <v>26</v>
      </c>
      <c r="G246" s="480">
        <f t="shared" ref="G246:G251" si="6">SUM(C246:F246)</f>
        <v>1129</v>
      </c>
      <c r="H246" s="466"/>
      <c r="J246" s="476"/>
    </row>
    <row r="247" spans="1:10">
      <c r="A247" s="479" t="s">
        <v>354</v>
      </c>
      <c r="B247" s="477" t="s">
        <v>65</v>
      </c>
      <c r="C247" s="476">
        <f>7+25</f>
        <v>32</v>
      </c>
      <c r="D247" s="476">
        <v>14</v>
      </c>
      <c r="E247" s="513">
        <v>2</v>
      </c>
      <c r="F247" s="513">
        <v>2</v>
      </c>
      <c r="G247" s="480">
        <f t="shared" si="6"/>
        <v>50</v>
      </c>
      <c r="H247" s="466"/>
    </row>
    <row r="248" spans="1:10">
      <c r="A248" s="479" t="s">
        <v>355</v>
      </c>
      <c r="B248" s="477" t="s">
        <v>66</v>
      </c>
      <c r="C248" s="476">
        <f>0+11+2+10</f>
        <v>23</v>
      </c>
      <c r="D248" s="476">
        <f>0+0</f>
        <v>0</v>
      </c>
      <c r="E248" s="513">
        <f>7+16+5</f>
        <v>28</v>
      </c>
      <c r="F248" s="513">
        <f>18+13</f>
        <v>31</v>
      </c>
      <c r="G248" s="480">
        <f t="shared" si="6"/>
        <v>82</v>
      </c>
      <c r="H248" s="466"/>
    </row>
    <row r="249" spans="1:10">
      <c r="A249" s="479" t="s">
        <v>356</v>
      </c>
      <c r="B249" s="477" t="s">
        <v>67</v>
      </c>
      <c r="C249" s="476">
        <f>3+41+4+10</f>
        <v>58</v>
      </c>
      <c r="D249" s="476">
        <f>6+82</f>
        <v>88</v>
      </c>
      <c r="E249" s="513">
        <f>1+8+9</f>
        <v>18</v>
      </c>
      <c r="F249" s="513">
        <f>0+5</f>
        <v>5</v>
      </c>
      <c r="G249" s="480">
        <f t="shared" si="6"/>
        <v>169</v>
      </c>
      <c r="H249" s="466"/>
    </row>
    <row r="250" spans="1:10">
      <c r="A250" s="476" t="s">
        <v>357</v>
      </c>
      <c r="B250" s="477" t="s">
        <v>68</v>
      </c>
      <c r="C250" s="476">
        <v>0</v>
      </c>
      <c r="D250" s="476">
        <v>0</v>
      </c>
      <c r="E250" s="513">
        <v>0</v>
      </c>
      <c r="F250" s="513">
        <f>0+12</f>
        <v>12</v>
      </c>
      <c r="G250" s="480">
        <f t="shared" si="6"/>
        <v>12</v>
      </c>
      <c r="H250" s="466"/>
    </row>
    <row r="251" spans="1:10" ht="28.5">
      <c r="A251" s="479" t="s">
        <v>358</v>
      </c>
      <c r="B251" s="537" t="s">
        <v>687</v>
      </c>
      <c r="C251" s="476">
        <f>7+241+733+15+278+50</f>
        <v>1324</v>
      </c>
      <c r="D251" s="476">
        <f>14+10+947+303</f>
        <v>1274</v>
      </c>
      <c r="E251" s="513">
        <v>0</v>
      </c>
      <c r="F251" s="513">
        <v>0</v>
      </c>
      <c r="G251" s="480">
        <f t="shared" si="6"/>
        <v>2598</v>
      </c>
      <c r="H251" s="466"/>
    </row>
    <row r="252" spans="1:10" ht="15">
      <c r="B252" s="207"/>
    </row>
  </sheetData>
  <mergeCells count="85">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4:E94"/>
    <mergeCell ref="D81:E81"/>
    <mergeCell ref="D82:E82"/>
    <mergeCell ref="D83:E83"/>
    <mergeCell ref="D86:E86"/>
    <mergeCell ref="D87:E87"/>
    <mergeCell ref="D88:E88"/>
    <mergeCell ref="D89:E89"/>
    <mergeCell ref="D90:E90"/>
    <mergeCell ref="D91:E91"/>
    <mergeCell ref="D92:E92"/>
    <mergeCell ref="D93:E93"/>
    <mergeCell ref="A237:G237"/>
    <mergeCell ref="D95:E95"/>
    <mergeCell ref="D96:E96"/>
    <mergeCell ref="D97:E97"/>
    <mergeCell ref="A99:G99"/>
    <mergeCell ref="A101:A102"/>
    <mergeCell ref="B101:B102"/>
    <mergeCell ref="C101:E102"/>
    <mergeCell ref="G101:G102"/>
    <mergeCell ref="A144:G144"/>
    <mergeCell ref="A145:G145"/>
    <mergeCell ref="B154:C154"/>
    <mergeCell ref="D192:E192"/>
  </mergeCells>
  <hyperlinks>
    <hyperlink ref="B9" r:id="rId1"/>
  </hyperlinks>
  <pageMargins left="0.7" right="0.7" top="0.75" bottom="0.75" header="0.3" footer="0.3"/>
  <legacyDrawing r:id="rId2"/>
</worksheet>
</file>

<file path=xl/worksheets/sheet19.xml><?xml version="1.0" encoding="utf-8"?>
<worksheet xmlns="http://schemas.openxmlformats.org/spreadsheetml/2006/main" xmlns:r="http://schemas.openxmlformats.org/officeDocument/2006/relationships">
  <dimension ref="A1:J259"/>
  <sheetViews>
    <sheetView topLeftCell="A236" zoomScaleNormal="100" workbookViewId="0">
      <selection activeCell="H247" sqref="H247"/>
    </sheetView>
  </sheetViews>
  <sheetFormatPr defaultRowHeight="12.75"/>
  <cols>
    <col min="1" max="1" width="11.28515625" customWidth="1"/>
    <col min="2" max="2" width="77.7109375" customWidth="1"/>
    <col min="3" max="3" width="11.28515625" customWidth="1"/>
    <col min="4" max="4" width="10.7109375" customWidth="1"/>
    <col min="5" max="5" width="12.85546875" customWidth="1"/>
    <col min="6" max="6" width="10.5703125" bestFit="1" customWidth="1"/>
    <col min="7" max="7" width="11.42578125" bestFit="1" customWidth="1"/>
    <col min="8" max="8" width="19.5703125" customWidth="1"/>
    <col min="9" max="9" width="17.5703125" bestFit="1" customWidth="1"/>
  </cols>
  <sheetData>
    <row r="1" spans="1:8" ht="18">
      <c r="A1" s="65"/>
      <c r="B1" s="66" t="s">
        <v>241</v>
      </c>
      <c r="C1" s="66"/>
      <c r="D1" s="162" t="s">
        <v>374</v>
      </c>
      <c r="E1" s="67"/>
      <c r="F1" s="67"/>
      <c r="G1" s="66"/>
      <c r="H1" s="68"/>
    </row>
    <row r="2" spans="1:8">
      <c r="A2" s="69"/>
      <c r="B2" s="68"/>
      <c r="C2" s="69"/>
      <c r="D2" s="69"/>
      <c r="E2" s="69"/>
      <c r="F2" s="69"/>
      <c r="G2" s="68"/>
      <c r="H2" s="68"/>
    </row>
    <row r="3" spans="1:8" ht="15.75">
      <c r="A3" s="70" t="s">
        <v>161</v>
      </c>
      <c r="B3" s="71" t="s">
        <v>368</v>
      </c>
      <c r="C3" s="72"/>
      <c r="D3" s="73" t="s">
        <v>185</v>
      </c>
      <c r="E3" s="72"/>
      <c r="F3" s="72"/>
      <c r="G3" s="68"/>
      <c r="H3" s="68"/>
    </row>
    <row r="4" spans="1:8">
      <c r="A4" s="69"/>
      <c r="B4" s="68"/>
      <c r="C4" s="69"/>
      <c r="D4" s="69"/>
      <c r="E4" s="69"/>
      <c r="F4" s="69"/>
      <c r="G4" s="68"/>
      <c r="H4" s="68"/>
    </row>
    <row r="5" spans="1:8" ht="12.75" customHeight="1">
      <c r="A5" s="1231" t="s">
        <v>189</v>
      </c>
      <c r="B5" s="71" t="s">
        <v>369</v>
      </c>
      <c r="C5" s="72"/>
      <c r="D5" s="74" t="s">
        <v>186</v>
      </c>
      <c r="E5" s="72"/>
      <c r="F5" s="72"/>
      <c r="G5" s="68"/>
      <c r="H5" s="68"/>
    </row>
    <row r="6" spans="1:8" ht="20.25" customHeight="1">
      <c r="A6" s="1231"/>
      <c r="B6" s="72"/>
      <c r="C6" s="69"/>
      <c r="D6" s="75" t="s">
        <v>187</v>
      </c>
      <c r="E6" s="69"/>
      <c r="F6" s="69"/>
      <c r="G6" s="68"/>
      <c r="H6" s="68"/>
    </row>
    <row r="7" spans="1:8" ht="12.75" customHeight="1">
      <c r="A7" s="1231" t="s">
        <v>184</v>
      </c>
      <c r="B7" s="71" t="s">
        <v>370</v>
      </c>
      <c r="C7" s="72"/>
      <c r="D7" s="72"/>
      <c r="E7" s="72"/>
      <c r="F7" s="72"/>
      <c r="G7" s="68"/>
      <c r="H7" s="68"/>
    </row>
    <row r="8" spans="1:8">
      <c r="A8" s="1231"/>
      <c r="B8" s="68"/>
      <c r="C8" s="72"/>
      <c r="D8" s="75" t="s">
        <v>188</v>
      </c>
      <c r="E8" s="69"/>
      <c r="F8" s="69"/>
      <c r="G8" s="68"/>
      <c r="H8" s="68"/>
    </row>
    <row r="9" spans="1:8">
      <c r="A9" s="76" t="s">
        <v>190</v>
      </c>
      <c r="B9" s="163" t="s">
        <v>371</v>
      </c>
      <c r="C9" s="72"/>
      <c r="D9" s="69"/>
      <c r="E9" s="69"/>
      <c r="F9" s="69"/>
      <c r="G9" s="68"/>
      <c r="H9" s="68"/>
    </row>
    <row r="10" spans="1:8">
      <c r="A10" s="67"/>
      <c r="B10" s="68"/>
      <c r="C10" s="69"/>
      <c r="D10" s="77" t="s">
        <v>242</v>
      </c>
      <c r="E10" s="69"/>
      <c r="F10" s="78"/>
      <c r="G10" s="68"/>
      <c r="H10" s="68"/>
    </row>
    <row r="11" spans="1:8">
      <c r="A11" s="79" t="s">
        <v>162</v>
      </c>
      <c r="B11" s="71" t="s">
        <v>372</v>
      </c>
      <c r="C11" s="72"/>
      <c r="D11" s="69"/>
      <c r="E11" s="69"/>
      <c r="F11" s="69"/>
      <c r="G11" s="68"/>
      <c r="H11" s="68"/>
    </row>
    <row r="12" spans="1:8">
      <c r="A12" s="69"/>
      <c r="B12" s="68"/>
      <c r="C12" s="69"/>
      <c r="D12" s="67"/>
      <c r="E12" s="69"/>
      <c r="F12" s="69"/>
      <c r="G12" s="68"/>
      <c r="H12" s="68"/>
    </row>
    <row r="13" spans="1:8">
      <c r="A13" s="1232" t="s">
        <v>163</v>
      </c>
      <c r="B13" s="71" t="s">
        <v>373</v>
      </c>
      <c r="C13" s="72"/>
      <c r="D13" s="72"/>
      <c r="E13" s="69"/>
      <c r="F13" s="69"/>
      <c r="G13" s="68"/>
      <c r="H13" s="68"/>
    </row>
    <row r="14" spans="1:8">
      <c r="A14" s="1232"/>
      <c r="B14" s="68"/>
      <c r="C14" s="68"/>
      <c r="D14" s="68"/>
      <c r="E14" s="68"/>
      <c r="F14" s="68"/>
      <c r="G14" s="68"/>
      <c r="H14" s="68"/>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c r="D18" s="1218"/>
      <c r="E18" s="1218"/>
      <c r="F18" s="84"/>
      <c r="G18" s="85"/>
      <c r="H18" s="72"/>
    </row>
    <row r="19" spans="1:8" ht="24" customHeight="1">
      <c r="A19" s="11" t="s">
        <v>111</v>
      </c>
      <c r="B19" s="86" t="s">
        <v>228</v>
      </c>
      <c r="C19" s="8" t="s">
        <v>378</v>
      </c>
      <c r="D19" s="1218" t="s">
        <v>390</v>
      </c>
      <c r="E19" s="1218"/>
      <c r="F19" s="84"/>
      <c r="G19" s="85"/>
      <c r="H19" s="72"/>
    </row>
    <row r="20" spans="1:8" ht="55.5" customHeight="1">
      <c r="A20" s="11" t="s">
        <v>112</v>
      </c>
      <c r="B20" s="86" t="s">
        <v>229</v>
      </c>
      <c r="C20" s="8">
        <v>2</v>
      </c>
      <c r="D20" s="1218" t="s">
        <v>391</v>
      </c>
      <c r="E20" s="1218"/>
      <c r="F20" s="84"/>
      <c r="G20" s="85"/>
      <c r="H20" s="72"/>
    </row>
    <row r="21" spans="1:8" ht="25.5" customHeight="1">
      <c r="A21" s="11" t="s">
        <v>113</v>
      </c>
      <c r="B21" s="87" t="s">
        <v>230</v>
      </c>
      <c r="C21" s="8" t="s">
        <v>378</v>
      </c>
      <c r="D21" s="1218" t="s">
        <v>390</v>
      </c>
      <c r="E21" s="1218"/>
      <c r="F21" s="84"/>
      <c r="G21" s="85"/>
      <c r="H21" s="72"/>
    </row>
    <row r="22" spans="1:8" ht="69" customHeight="1">
      <c r="A22" s="11" t="s">
        <v>114</v>
      </c>
      <c r="B22" s="87" t="s">
        <v>231</v>
      </c>
      <c r="C22" s="8">
        <v>1</v>
      </c>
      <c r="D22" s="1218" t="s">
        <v>392</v>
      </c>
      <c r="E22" s="1218"/>
      <c r="F22" s="84"/>
      <c r="G22" s="85"/>
      <c r="H22" s="72"/>
    </row>
    <row r="23" spans="1:8">
      <c r="A23" s="1222"/>
      <c r="B23" s="1223"/>
      <c r="C23" s="1224"/>
      <c r="D23" s="1224"/>
      <c r="E23" s="1224"/>
      <c r="F23" s="1224"/>
      <c r="G23" s="1225"/>
      <c r="H23" s="80"/>
    </row>
    <row r="24" spans="1:8" ht="13.5">
      <c r="A24" s="1226" t="s">
        <v>360</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24.7</v>
      </c>
      <c r="D26" s="1218"/>
      <c r="E26" s="1218"/>
      <c r="F26" s="84"/>
      <c r="G26" s="85"/>
      <c r="H26" s="72"/>
    </row>
    <row r="27" spans="1:8">
      <c r="A27" s="8" t="s">
        <v>3</v>
      </c>
      <c r="B27" s="12" t="s">
        <v>4</v>
      </c>
      <c r="C27" s="15">
        <v>23.7</v>
      </c>
      <c r="D27" s="1218"/>
      <c r="E27" s="1218"/>
      <c r="F27" s="84"/>
      <c r="G27" s="85"/>
      <c r="H27" s="72"/>
    </row>
    <row r="28" spans="1:8">
      <c r="A28" s="11" t="s">
        <v>5</v>
      </c>
      <c r="B28" s="12" t="s">
        <v>144</v>
      </c>
      <c r="C28" s="15">
        <v>1</v>
      </c>
      <c r="D28" s="1218"/>
      <c r="E28" s="1218"/>
      <c r="F28" s="84"/>
      <c r="G28" s="85"/>
      <c r="H28" s="72"/>
    </row>
    <row r="29" spans="1:8">
      <c r="A29" s="8" t="s">
        <v>145</v>
      </c>
      <c r="B29" s="12" t="s">
        <v>146</v>
      </c>
      <c r="C29" s="15">
        <v>0</v>
      </c>
      <c r="D29" s="1220"/>
      <c r="E29" s="1403"/>
      <c r="F29" s="89"/>
      <c r="G29" s="85"/>
      <c r="H29" s="72"/>
    </row>
    <row r="30" spans="1:8">
      <c r="A30" s="8" t="s">
        <v>244</v>
      </c>
      <c r="B30" s="12" t="s">
        <v>245</v>
      </c>
      <c r="C30" s="15">
        <v>0</v>
      </c>
      <c r="D30" s="88"/>
      <c r="E30" s="89"/>
      <c r="F30" s="89"/>
      <c r="G30" s="85"/>
      <c r="H30" s="72"/>
    </row>
    <row r="31" spans="1:8">
      <c r="A31" s="5">
        <v>3</v>
      </c>
      <c r="B31" s="7" t="s">
        <v>14</v>
      </c>
      <c r="C31" s="50">
        <f>SUM(C32:C34)</f>
        <v>59.25</v>
      </c>
      <c r="D31" s="1218"/>
      <c r="E31" s="1218"/>
      <c r="F31" s="84"/>
      <c r="G31" s="85"/>
      <c r="H31" s="72"/>
    </row>
    <row r="32" spans="1:8">
      <c r="A32" s="8" t="s">
        <v>6</v>
      </c>
      <c r="B32" s="12" t="s">
        <v>7</v>
      </c>
      <c r="C32" s="15">
        <v>32.090000000000003</v>
      </c>
      <c r="D32" s="1218"/>
      <c r="E32" s="1218"/>
      <c r="F32" s="84"/>
      <c r="G32" s="85"/>
      <c r="H32" s="72"/>
    </row>
    <row r="33" spans="1:8">
      <c r="A33" s="11" t="s">
        <v>12</v>
      </c>
      <c r="B33" s="12" t="s">
        <v>15</v>
      </c>
      <c r="C33" s="15">
        <v>19.41</v>
      </c>
      <c r="D33" s="1218"/>
      <c r="E33" s="1218"/>
      <c r="F33" s="84"/>
      <c r="G33" s="85"/>
      <c r="H33" s="72"/>
    </row>
    <row r="34" spans="1:8">
      <c r="A34" s="11" t="s">
        <v>13</v>
      </c>
      <c r="B34" s="12" t="s">
        <v>148</v>
      </c>
      <c r="C34" s="15">
        <v>7.75</v>
      </c>
      <c r="D34" s="1218"/>
      <c r="E34" s="1218"/>
      <c r="F34" s="84"/>
      <c r="G34" s="85"/>
      <c r="H34" s="72"/>
    </row>
    <row r="35" spans="1:8">
      <c r="A35" s="5">
        <v>4</v>
      </c>
      <c r="B35" s="16" t="s">
        <v>17</v>
      </c>
      <c r="C35" s="15"/>
      <c r="D35" s="1218"/>
      <c r="E35" s="1218"/>
      <c r="F35" s="84"/>
      <c r="G35" s="85"/>
      <c r="H35" s="72"/>
    </row>
    <row r="36" spans="1:8">
      <c r="A36" s="11" t="s">
        <v>16</v>
      </c>
      <c r="B36" s="12" t="s">
        <v>84</v>
      </c>
      <c r="C36" s="15">
        <v>0</v>
      </c>
      <c r="D36" s="1218"/>
      <c r="E36" s="1218"/>
      <c r="F36" s="84"/>
      <c r="G36" s="85"/>
      <c r="H36" s="72"/>
    </row>
    <row r="37" spans="1:8">
      <c r="A37" s="5">
        <v>5</v>
      </c>
      <c r="B37" s="90" t="s">
        <v>26</v>
      </c>
      <c r="C37" s="15">
        <v>10.31</v>
      </c>
      <c r="D37" s="1218" t="s">
        <v>375</v>
      </c>
      <c r="E37" s="1218"/>
      <c r="F37" s="84"/>
      <c r="G37" s="85"/>
      <c r="H37" s="72"/>
    </row>
    <row r="38" spans="1:8">
      <c r="A38" s="17" t="s">
        <v>147</v>
      </c>
      <c r="B38" s="16" t="s">
        <v>150</v>
      </c>
      <c r="C38" s="15">
        <v>0.36</v>
      </c>
      <c r="D38" s="1402">
        <v>0.36</v>
      </c>
      <c r="E38" s="1221"/>
      <c r="F38" s="81"/>
      <c r="G38" s="85"/>
      <c r="H38" s="72"/>
    </row>
    <row r="39" spans="1:8">
      <c r="A39" s="5">
        <v>6</v>
      </c>
      <c r="B39" s="7" t="s">
        <v>85</v>
      </c>
      <c r="C39" s="50">
        <f>SUM(C26+C31+C35+C37)</f>
        <v>94.26</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93">
        <f>SUM(C45:C47)</f>
        <v>1697483.46</v>
      </c>
      <c r="D44" s="1218"/>
      <c r="E44" s="1218"/>
      <c r="F44" s="84"/>
      <c r="G44" s="85"/>
      <c r="H44" s="72"/>
    </row>
    <row r="45" spans="1:8">
      <c r="A45" s="8" t="s">
        <v>11</v>
      </c>
      <c r="B45" s="12" t="s">
        <v>19</v>
      </c>
      <c r="C45" s="55">
        <v>1559314.64</v>
      </c>
      <c r="D45" s="1218"/>
      <c r="E45" s="1218"/>
      <c r="F45" s="84"/>
      <c r="G45" s="85"/>
      <c r="H45" s="72"/>
    </row>
    <row r="46" spans="1:8">
      <c r="A46" s="11" t="s">
        <v>18</v>
      </c>
      <c r="B46" s="12" t="s">
        <v>151</v>
      </c>
      <c r="C46" s="55">
        <v>138168.82</v>
      </c>
      <c r="D46" s="1218"/>
      <c r="E46" s="1218"/>
      <c r="F46" s="84"/>
      <c r="G46" s="85"/>
      <c r="H46" s="72"/>
    </row>
    <row r="47" spans="1:8">
      <c r="A47" s="8" t="s">
        <v>247</v>
      </c>
      <c r="B47" s="12" t="s">
        <v>248</v>
      </c>
      <c r="C47" s="59">
        <v>0</v>
      </c>
      <c r="D47" s="84"/>
      <c r="E47" s="84"/>
      <c r="F47" s="84"/>
      <c r="G47" s="85"/>
      <c r="H47" s="72"/>
    </row>
    <row r="48" spans="1:8">
      <c r="A48" s="5">
        <v>8</v>
      </c>
      <c r="B48" s="7" t="s">
        <v>109</v>
      </c>
      <c r="C48" s="93">
        <f>SUM(C49:C51)</f>
        <v>2295940.2999999998</v>
      </c>
      <c r="D48" s="1218"/>
      <c r="E48" s="1218"/>
      <c r="F48" s="84"/>
      <c r="G48" s="85"/>
      <c r="H48" s="72"/>
    </row>
    <row r="49" spans="1:8">
      <c r="A49" s="19" t="s">
        <v>20</v>
      </c>
      <c r="B49" s="20" t="s">
        <v>23</v>
      </c>
      <c r="C49" s="55">
        <v>1121096.51</v>
      </c>
      <c r="D49" s="1218"/>
      <c r="E49" s="1218"/>
      <c r="F49" s="84"/>
      <c r="G49" s="85"/>
      <c r="H49" s="72"/>
    </row>
    <row r="50" spans="1:8">
      <c r="A50" s="11" t="s">
        <v>21</v>
      </c>
      <c r="B50" s="12" t="s">
        <v>24</v>
      </c>
      <c r="C50" s="55">
        <v>785421.3</v>
      </c>
      <c r="D50" s="1218"/>
      <c r="E50" s="1218"/>
      <c r="F50" s="84"/>
      <c r="G50" s="85"/>
      <c r="H50" s="72"/>
    </row>
    <row r="51" spans="1:8">
      <c r="A51" s="11" t="s">
        <v>22</v>
      </c>
      <c r="B51" s="12" t="s">
        <v>25</v>
      </c>
      <c r="C51" s="55">
        <v>389422.49</v>
      </c>
      <c r="D51" s="1218"/>
      <c r="E51" s="1218"/>
      <c r="F51" s="84"/>
      <c r="G51" s="85"/>
      <c r="H51" s="72"/>
    </row>
    <row r="52" spans="1:8" ht="25.5">
      <c r="A52" s="21">
        <v>9</v>
      </c>
      <c r="B52" s="22" t="s">
        <v>27</v>
      </c>
      <c r="C52" s="56">
        <v>455058.24</v>
      </c>
      <c r="D52" s="1218"/>
      <c r="E52" s="1218"/>
      <c r="F52" s="84"/>
      <c r="G52" s="85"/>
      <c r="H52" s="72"/>
    </row>
    <row r="53" spans="1:8">
      <c r="A53" s="21">
        <v>10</v>
      </c>
      <c r="B53" s="22" t="s">
        <v>249</v>
      </c>
      <c r="C53" s="56">
        <f>SUM(C44+C48+C52)</f>
        <v>4448482</v>
      </c>
      <c r="D53" s="88"/>
      <c r="E53" s="94"/>
      <c r="F53" s="94"/>
      <c r="G53" s="85"/>
      <c r="H53" s="72"/>
    </row>
    <row r="54" spans="1:8">
      <c r="A54" s="21"/>
      <c r="B54" s="22"/>
      <c r="C54" s="55"/>
      <c r="D54" s="1220"/>
      <c r="E54" s="1221"/>
      <c r="F54" s="94"/>
      <c r="G54" s="85"/>
      <c r="H54" s="72"/>
    </row>
    <row r="55" spans="1:8">
      <c r="A55" s="95"/>
      <c r="B55" s="92" t="s">
        <v>250</v>
      </c>
      <c r="C55" s="96"/>
      <c r="D55" s="1219"/>
      <c r="E55" s="1218"/>
      <c r="F55" s="84"/>
      <c r="G55" s="85"/>
      <c r="H55" s="72"/>
    </row>
    <row r="56" spans="1:8" ht="25.5">
      <c r="A56" s="97">
        <v>11</v>
      </c>
      <c r="B56" s="98" t="s">
        <v>251</v>
      </c>
      <c r="C56" s="99">
        <f>SUM(C57:C59)</f>
        <v>357293</v>
      </c>
      <c r="D56" s="1218"/>
      <c r="E56" s="1218"/>
      <c r="F56" s="84"/>
      <c r="G56" s="85"/>
      <c r="H56" s="72"/>
    </row>
    <row r="57" spans="1:8">
      <c r="A57" s="100" t="s">
        <v>30</v>
      </c>
      <c r="B57" s="101" t="s">
        <v>28</v>
      </c>
      <c r="C57" s="55">
        <v>258768</v>
      </c>
      <c r="D57" s="1218"/>
      <c r="E57" s="1218"/>
      <c r="F57" s="84"/>
      <c r="G57" s="85"/>
      <c r="H57" s="72"/>
    </row>
    <row r="58" spans="1:8">
      <c r="A58" s="100" t="s">
        <v>32</v>
      </c>
      <c r="B58" s="101" t="s">
        <v>363</v>
      </c>
      <c r="C58" s="55">
        <v>98525</v>
      </c>
      <c r="D58" s="1218"/>
      <c r="E58" s="1218"/>
      <c r="F58" s="84"/>
      <c r="G58" s="85"/>
      <c r="H58" s="72"/>
    </row>
    <row r="59" spans="1:8">
      <c r="A59" s="100" t="s">
        <v>34</v>
      </c>
      <c r="B59" s="101" t="s">
        <v>29</v>
      </c>
      <c r="C59" s="55">
        <v>0</v>
      </c>
      <c r="D59" s="1218"/>
      <c r="E59" s="1218"/>
      <c r="F59" s="84"/>
      <c r="G59" s="85"/>
      <c r="H59" s="72"/>
    </row>
    <row r="60" spans="1:8" ht="25.5">
      <c r="A60" s="97">
        <v>12</v>
      </c>
      <c r="B60" s="98" t="s">
        <v>252</v>
      </c>
      <c r="C60" s="57">
        <v>1937908</v>
      </c>
      <c r="D60" s="1218"/>
      <c r="E60" s="1218"/>
      <c r="F60" s="84"/>
      <c r="G60" s="85"/>
      <c r="H60" s="72"/>
    </row>
    <row r="61" spans="1:8">
      <c r="A61" s="100" t="s">
        <v>36</v>
      </c>
      <c r="B61" s="101" t="s">
        <v>31</v>
      </c>
      <c r="C61" s="55">
        <v>577706</v>
      </c>
      <c r="D61" s="1218"/>
      <c r="E61" s="1218"/>
      <c r="F61" s="84"/>
      <c r="G61" s="85"/>
      <c r="H61" s="72"/>
    </row>
    <row r="62" spans="1:8">
      <c r="A62" s="100" t="s">
        <v>38</v>
      </c>
      <c r="B62" s="101" t="s">
        <v>206</v>
      </c>
      <c r="C62" s="55">
        <v>1177406</v>
      </c>
      <c r="D62" s="1218"/>
      <c r="E62" s="1218"/>
      <c r="F62" s="84"/>
      <c r="G62" s="85"/>
      <c r="H62" s="72"/>
    </row>
    <row r="63" spans="1:8">
      <c r="A63" s="100" t="s">
        <v>253</v>
      </c>
      <c r="B63" s="101" t="s">
        <v>33</v>
      </c>
      <c r="C63" s="55">
        <v>1059106</v>
      </c>
      <c r="D63" s="1218"/>
      <c r="E63" s="1218"/>
      <c r="F63" s="84"/>
      <c r="G63" s="85"/>
      <c r="H63" s="72"/>
    </row>
    <row r="64" spans="1:8">
      <c r="A64" s="100" t="s">
        <v>39</v>
      </c>
      <c r="B64" s="101" t="s">
        <v>35</v>
      </c>
      <c r="C64" s="55">
        <v>118300</v>
      </c>
      <c r="D64" s="1218"/>
      <c r="E64" s="1218"/>
      <c r="F64" s="84"/>
      <c r="G64" s="85"/>
      <c r="H64" s="72"/>
    </row>
    <row r="65" spans="1:8">
      <c r="A65" s="102" t="s">
        <v>254</v>
      </c>
      <c r="B65" s="101" t="s">
        <v>153</v>
      </c>
      <c r="C65" s="55">
        <v>174778</v>
      </c>
      <c r="D65" s="1218"/>
      <c r="E65" s="1218"/>
      <c r="F65" s="84"/>
      <c r="G65" s="85"/>
      <c r="H65" s="72"/>
    </row>
    <row r="66" spans="1:8">
      <c r="A66" s="102" t="s">
        <v>255</v>
      </c>
      <c r="B66" s="103" t="s">
        <v>216</v>
      </c>
      <c r="C66" s="55">
        <v>8018</v>
      </c>
      <c r="D66" s="1218"/>
      <c r="E66" s="1218"/>
      <c r="F66" s="84"/>
      <c r="G66" s="85"/>
      <c r="H66" s="72"/>
    </row>
    <row r="67" spans="1:8">
      <c r="A67" s="97">
        <v>13</v>
      </c>
      <c r="B67" s="104" t="s">
        <v>256</v>
      </c>
      <c r="C67" s="57">
        <f>SUM(C68:C69)</f>
        <v>690</v>
      </c>
      <c r="D67" s="1218"/>
      <c r="E67" s="1218"/>
      <c r="F67" s="84"/>
      <c r="G67" s="85"/>
      <c r="H67" s="72"/>
    </row>
    <row r="68" spans="1:8">
      <c r="A68" s="100" t="s">
        <v>156</v>
      </c>
      <c r="B68" s="103" t="s">
        <v>40</v>
      </c>
      <c r="C68" s="55">
        <v>690</v>
      </c>
      <c r="D68" s="1218"/>
      <c r="E68" s="1218"/>
      <c r="F68" s="84"/>
      <c r="G68" s="85"/>
      <c r="H68" s="72"/>
    </row>
    <row r="69" spans="1:8">
      <c r="A69" s="100" t="s">
        <v>157</v>
      </c>
      <c r="B69" s="103" t="s">
        <v>41</v>
      </c>
      <c r="C69" s="55">
        <v>0</v>
      </c>
      <c r="D69" s="1218"/>
      <c r="E69" s="1218"/>
      <c r="F69" s="84"/>
      <c r="G69" s="85"/>
      <c r="H69" s="72"/>
    </row>
    <row r="70" spans="1:8">
      <c r="A70" s="95">
        <v>14</v>
      </c>
      <c r="B70" s="82" t="s">
        <v>257</v>
      </c>
      <c r="C70" s="57">
        <v>741</v>
      </c>
      <c r="D70" s="1218"/>
      <c r="E70" s="1218"/>
      <c r="F70" s="84"/>
      <c r="G70" s="85"/>
      <c r="H70" s="72"/>
    </row>
    <row r="71" spans="1:8">
      <c r="A71" s="105" t="s">
        <v>42</v>
      </c>
      <c r="B71" s="106" t="s">
        <v>155</v>
      </c>
      <c r="C71" s="55">
        <v>0</v>
      </c>
      <c r="D71" s="1321" t="s">
        <v>386</v>
      </c>
      <c r="E71" s="1322"/>
      <c r="F71" s="81"/>
      <c r="G71" s="85"/>
      <c r="H71" s="72"/>
    </row>
    <row r="72" spans="1:8">
      <c r="A72" s="105" t="s">
        <v>43</v>
      </c>
      <c r="B72" s="107" t="s">
        <v>258</v>
      </c>
      <c r="C72" s="55">
        <v>0</v>
      </c>
      <c r="D72" s="168" t="s">
        <v>387</v>
      </c>
      <c r="E72" s="81"/>
      <c r="F72" s="81"/>
      <c r="G72" s="85"/>
      <c r="H72" s="72"/>
    </row>
    <row r="73" spans="1:8">
      <c r="A73" s="105" t="s">
        <v>45</v>
      </c>
      <c r="B73" s="108" t="s">
        <v>44</v>
      </c>
      <c r="C73" s="55">
        <v>741</v>
      </c>
      <c r="D73" s="1321" t="s">
        <v>388</v>
      </c>
      <c r="E73" s="1322"/>
      <c r="F73" s="84"/>
      <c r="G73" s="85"/>
      <c r="H73" s="72"/>
    </row>
    <row r="74" spans="1:8">
      <c r="A74" s="105" t="s">
        <v>154</v>
      </c>
      <c r="B74" s="108" t="s">
        <v>46</v>
      </c>
      <c r="C74" s="55">
        <v>0</v>
      </c>
      <c r="D74" s="1321" t="s">
        <v>389</v>
      </c>
      <c r="E74" s="1322"/>
      <c r="F74" s="84"/>
      <c r="G74" s="85"/>
      <c r="H74" s="72"/>
    </row>
    <row r="75" spans="1:8">
      <c r="A75" s="109" t="s">
        <v>259</v>
      </c>
      <c r="B75" s="108" t="s">
        <v>104</v>
      </c>
      <c r="C75" s="55"/>
      <c r="D75" s="1218"/>
      <c r="E75" s="1218"/>
      <c r="F75" s="84"/>
      <c r="G75" s="85"/>
      <c r="H75" s="72"/>
    </row>
    <row r="76" spans="1:8">
      <c r="A76" s="110">
        <v>15</v>
      </c>
      <c r="B76" s="82" t="s">
        <v>260</v>
      </c>
      <c r="C76" s="58">
        <v>2296632</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c r="A80" s="95">
        <v>16</v>
      </c>
      <c r="B80" s="112" t="s">
        <v>262</v>
      </c>
      <c r="C80" s="59">
        <v>59415.76</v>
      </c>
      <c r="D80" s="84"/>
      <c r="E80" s="84"/>
      <c r="F80" s="84"/>
      <c r="G80" s="85"/>
      <c r="H80" s="72"/>
    </row>
    <row r="81" spans="1:8">
      <c r="A81" s="109" t="s">
        <v>263</v>
      </c>
      <c r="B81" s="85" t="s">
        <v>264</v>
      </c>
      <c r="C81" s="55">
        <f>6686+24400</f>
        <v>31086</v>
      </c>
      <c r="D81" s="84"/>
      <c r="E81" s="84"/>
      <c r="F81" s="84"/>
      <c r="G81" s="85"/>
      <c r="H81" s="72"/>
    </row>
    <row r="82" spans="1:8" ht="25.5">
      <c r="A82" s="109" t="s">
        <v>192</v>
      </c>
      <c r="B82" s="113" t="s">
        <v>207</v>
      </c>
      <c r="C82" s="55">
        <v>27719.66</v>
      </c>
      <c r="D82" s="84" t="s">
        <v>366</v>
      </c>
      <c r="E82" s="84"/>
      <c r="F82" s="84"/>
      <c r="G82" s="85"/>
      <c r="H82" s="72"/>
    </row>
    <row r="83" spans="1:8">
      <c r="A83" s="109" t="s">
        <v>193</v>
      </c>
      <c r="B83" s="85" t="s">
        <v>158</v>
      </c>
      <c r="C83" s="55">
        <v>1110</v>
      </c>
      <c r="D83" s="84"/>
      <c r="E83" s="84"/>
      <c r="F83" s="84"/>
      <c r="G83" s="85"/>
      <c r="H83" s="72"/>
    </row>
    <row r="84" spans="1:8">
      <c r="A84" s="109" t="s">
        <v>265</v>
      </c>
      <c r="B84" s="85" t="s">
        <v>159</v>
      </c>
      <c r="C84" s="55">
        <v>955</v>
      </c>
      <c r="D84" s="84"/>
      <c r="E84" s="84"/>
      <c r="F84" s="84"/>
      <c r="G84" s="85"/>
      <c r="H84" s="72"/>
    </row>
    <row r="85" spans="1:8" ht="25.5">
      <c r="A85" s="109" t="s">
        <v>266</v>
      </c>
      <c r="B85" s="85" t="s">
        <v>160</v>
      </c>
      <c r="C85" s="55">
        <v>23900.1</v>
      </c>
      <c r="D85" s="84" t="s">
        <v>367</v>
      </c>
      <c r="E85" s="84"/>
      <c r="F85" s="84"/>
      <c r="G85" s="85"/>
      <c r="H85" s="72"/>
    </row>
    <row r="86" spans="1:8">
      <c r="A86" s="110">
        <v>17</v>
      </c>
      <c r="B86" s="111" t="s">
        <v>191</v>
      </c>
      <c r="C86" s="59"/>
      <c r="D86" s="1218"/>
      <c r="E86" s="1218"/>
      <c r="F86" s="84"/>
      <c r="G86" s="82"/>
      <c r="H86" s="83"/>
    </row>
    <row r="87" spans="1:8">
      <c r="A87" s="110">
        <v>18</v>
      </c>
      <c r="B87" s="82" t="s">
        <v>267</v>
      </c>
      <c r="C87" s="57">
        <f>SUM(C88:C90)</f>
        <v>19928.16</v>
      </c>
      <c r="D87" s="1218"/>
      <c r="E87" s="1218"/>
      <c r="F87" s="84"/>
      <c r="G87" s="85"/>
      <c r="H87" s="72"/>
    </row>
    <row r="88" spans="1:8">
      <c r="A88" s="105" t="s">
        <v>268</v>
      </c>
      <c r="B88" s="114" t="s">
        <v>47</v>
      </c>
      <c r="C88" s="55">
        <v>500</v>
      </c>
      <c r="D88" s="1218"/>
      <c r="E88" s="1218"/>
      <c r="F88" s="84"/>
      <c r="G88" s="85"/>
      <c r="H88" s="72"/>
    </row>
    <row r="89" spans="1:8">
      <c r="A89" s="105" t="s">
        <v>269</v>
      </c>
      <c r="B89" s="114" t="s">
        <v>48</v>
      </c>
      <c r="C89" s="55">
        <v>6979.36</v>
      </c>
      <c r="D89" s="1218"/>
      <c r="E89" s="1218"/>
      <c r="F89" s="84"/>
      <c r="G89" s="85"/>
      <c r="H89" s="72"/>
    </row>
    <row r="90" spans="1:8">
      <c r="A90" s="105" t="s">
        <v>270</v>
      </c>
      <c r="B90" s="114" t="s">
        <v>105</v>
      </c>
      <c r="C90" s="96">
        <v>12448.8</v>
      </c>
      <c r="D90" s="1218"/>
      <c r="E90" s="1218"/>
      <c r="F90" s="84"/>
      <c r="G90" s="85"/>
      <c r="H90" s="72"/>
    </row>
    <row r="91" spans="1:8">
      <c r="A91" s="110">
        <v>19</v>
      </c>
      <c r="B91" s="85" t="s">
        <v>205</v>
      </c>
      <c r="C91" s="96">
        <v>5736.06</v>
      </c>
      <c r="D91" s="1218" t="s">
        <v>383</v>
      </c>
      <c r="E91" s="1218"/>
      <c r="F91" s="84"/>
      <c r="G91" s="85"/>
      <c r="H91" s="72"/>
    </row>
    <row r="92" spans="1:8" ht="25.5">
      <c r="A92" s="110">
        <v>20</v>
      </c>
      <c r="B92" s="113" t="s">
        <v>106</v>
      </c>
      <c r="C92" s="96">
        <v>305436.77</v>
      </c>
      <c r="D92" s="1218"/>
      <c r="E92" s="1218"/>
      <c r="F92" s="84"/>
      <c r="G92" s="85"/>
      <c r="H92" s="72"/>
    </row>
    <row r="93" spans="1:8">
      <c r="A93" s="110">
        <v>21</v>
      </c>
      <c r="B93" s="85" t="s">
        <v>103</v>
      </c>
      <c r="C93" s="96">
        <v>180115</v>
      </c>
      <c r="D93" s="1218"/>
      <c r="E93" s="1218"/>
      <c r="F93" s="84"/>
      <c r="G93" s="85"/>
      <c r="H93" s="72"/>
    </row>
    <row r="94" spans="1:8" ht="25.5">
      <c r="A94" s="110">
        <v>22</v>
      </c>
      <c r="B94" s="113" t="s">
        <v>107</v>
      </c>
      <c r="C94" s="115">
        <v>191423.51</v>
      </c>
      <c r="D94" s="1218" t="s">
        <v>385</v>
      </c>
      <c r="E94" s="1218"/>
      <c r="F94" s="116"/>
      <c r="G94" s="117"/>
      <c r="H94" s="80"/>
    </row>
    <row r="95" spans="1:8" ht="28.5" customHeight="1">
      <c r="A95" s="110">
        <v>23</v>
      </c>
      <c r="B95" s="113" t="s">
        <v>271</v>
      </c>
      <c r="C95" s="118">
        <f>SUM(C53,C76,C80,C86,C87,C91,C92,C93,C94)</f>
        <v>7507169.2599999998</v>
      </c>
      <c r="D95" s="1218" t="s">
        <v>382</v>
      </c>
      <c r="E95" s="1218"/>
      <c r="F95" s="84"/>
      <c r="G95" s="85"/>
      <c r="H95" s="72"/>
    </row>
    <row r="96" spans="1:8">
      <c r="A96" s="109" t="s">
        <v>108</v>
      </c>
      <c r="B96" s="114" t="s">
        <v>49</v>
      </c>
      <c r="C96" s="96">
        <v>0</v>
      </c>
      <c r="D96" s="1218"/>
      <c r="E96" s="1218"/>
      <c r="F96" s="84"/>
      <c r="G96" s="85"/>
      <c r="H96" s="72"/>
    </row>
    <row r="97" spans="1:8" ht="15">
      <c r="A97" s="110">
        <v>24</v>
      </c>
      <c r="B97" s="85" t="s">
        <v>272</v>
      </c>
      <c r="C97" s="119">
        <f>SUM(C95,C96)</f>
        <v>7507169.2599999998</v>
      </c>
      <c r="D97" s="1218"/>
      <c r="E97" s="1218"/>
      <c r="F97" s="84"/>
      <c r="G97" s="85"/>
      <c r="H97" s="72"/>
    </row>
    <row r="99" spans="1:8" ht="15.75">
      <c r="A99" s="1199" t="s">
        <v>362</v>
      </c>
      <c r="B99" s="1204"/>
      <c r="C99" s="1204"/>
      <c r="D99" s="1204"/>
      <c r="E99" s="1204"/>
      <c r="F99" s="1204"/>
      <c r="G99" s="1205"/>
      <c r="H99" s="120"/>
    </row>
    <row r="100" spans="1:8">
      <c r="A100" s="30" t="s">
        <v>86</v>
      </c>
      <c r="B100" s="30" t="s">
        <v>8</v>
      </c>
      <c r="C100" s="32" t="s">
        <v>50</v>
      </c>
      <c r="D100" s="32" t="s">
        <v>51</v>
      </c>
      <c r="E100" s="32" t="s">
        <v>381</v>
      </c>
      <c r="F100" s="121" t="s">
        <v>149</v>
      </c>
      <c r="G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6142</v>
      </c>
      <c r="D103" s="51">
        <f>SUM(D104,D107:D110)</f>
        <v>5344</v>
      </c>
      <c r="E103" s="34">
        <v>915408</v>
      </c>
      <c r="F103" s="10"/>
      <c r="G103" s="3"/>
    </row>
    <row r="104" spans="1:8">
      <c r="A104" s="25" t="s">
        <v>91</v>
      </c>
      <c r="B104" s="13" t="s">
        <v>53</v>
      </c>
      <c r="C104" s="51">
        <v>4610</v>
      </c>
      <c r="D104" s="51">
        <v>4986</v>
      </c>
      <c r="E104" s="34" t="s">
        <v>201</v>
      </c>
      <c r="F104" s="10"/>
      <c r="G104" s="3"/>
    </row>
    <row r="105" spans="1:8">
      <c r="A105" s="25" t="s">
        <v>194</v>
      </c>
      <c r="B105" s="35" t="s">
        <v>54</v>
      </c>
      <c r="C105" s="34">
        <v>4546</v>
      </c>
      <c r="D105" s="25" t="s">
        <v>201</v>
      </c>
      <c r="E105" s="34" t="s">
        <v>201</v>
      </c>
      <c r="F105" s="10"/>
      <c r="G105" s="3"/>
    </row>
    <row r="106" spans="1:8">
      <c r="A106" s="25" t="s">
        <v>195</v>
      </c>
      <c r="B106" s="35" t="s">
        <v>55</v>
      </c>
      <c r="C106" s="34">
        <v>64</v>
      </c>
      <c r="D106" s="25" t="s">
        <v>201</v>
      </c>
      <c r="E106" s="34" t="s">
        <v>201</v>
      </c>
      <c r="F106" s="10"/>
      <c r="G106" s="3"/>
    </row>
    <row r="107" spans="1:8">
      <c r="A107" s="25" t="s">
        <v>93</v>
      </c>
      <c r="B107" s="13" t="s">
        <v>56</v>
      </c>
      <c r="C107" s="34">
        <v>619</v>
      </c>
      <c r="D107" s="34">
        <v>0</v>
      </c>
      <c r="E107" s="34">
        <v>145909</v>
      </c>
      <c r="F107" s="10"/>
      <c r="G107" s="3"/>
    </row>
    <row r="108" spans="1:8">
      <c r="A108" s="25" t="s">
        <v>275</v>
      </c>
      <c r="B108" s="13" t="s">
        <v>57</v>
      </c>
      <c r="C108" s="34">
        <v>54</v>
      </c>
      <c r="D108" s="34">
        <v>82</v>
      </c>
      <c r="E108" s="34">
        <v>25485</v>
      </c>
      <c r="F108" s="10"/>
      <c r="G108" s="3"/>
    </row>
    <row r="109" spans="1:8">
      <c r="A109" s="25" t="s">
        <v>276</v>
      </c>
      <c r="B109" s="13" t="s">
        <v>58</v>
      </c>
      <c r="C109" s="34">
        <v>0</v>
      </c>
      <c r="D109" s="34">
        <v>0</v>
      </c>
      <c r="E109" s="34">
        <v>0</v>
      </c>
      <c r="F109" s="10"/>
      <c r="G109" s="3"/>
    </row>
    <row r="110" spans="1:8">
      <c r="A110" s="27" t="s">
        <v>277</v>
      </c>
      <c r="B110" s="13" t="s">
        <v>139</v>
      </c>
      <c r="C110" s="52">
        <v>859</v>
      </c>
      <c r="D110" s="51">
        <v>276</v>
      </c>
      <c r="E110" s="34">
        <v>184549</v>
      </c>
      <c r="F110" s="10"/>
      <c r="G110" s="3"/>
    </row>
    <row r="111" spans="1:8">
      <c r="A111" s="30">
        <v>26</v>
      </c>
      <c r="B111" s="18" t="s">
        <v>278</v>
      </c>
      <c r="C111" s="34">
        <v>15122</v>
      </c>
      <c r="D111" s="34" t="s">
        <v>380</v>
      </c>
      <c r="E111" s="34">
        <v>1158887</v>
      </c>
      <c r="F111" s="10"/>
      <c r="G111" s="3"/>
    </row>
    <row r="112" spans="1:8">
      <c r="A112" s="25" t="s">
        <v>92</v>
      </c>
      <c r="B112" s="13" t="s">
        <v>59</v>
      </c>
      <c r="C112" s="34">
        <v>2386</v>
      </c>
      <c r="D112" s="34" t="s">
        <v>380</v>
      </c>
      <c r="E112" s="34">
        <v>11723</v>
      </c>
      <c r="F112" s="10"/>
      <c r="G112" s="3"/>
    </row>
    <row r="113" spans="1:7">
      <c r="A113" s="27" t="s">
        <v>94</v>
      </c>
      <c r="B113" s="13" t="s">
        <v>164</v>
      </c>
      <c r="C113" s="34">
        <v>8101</v>
      </c>
      <c r="D113" s="34" t="s">
        <v>380</v>
      </c>
      <c r="E113" s="34">
        <v>57228</v>
      </c>
      <c r="F113" s="10"/>
      <c r="G113" s="3"/>
    </row>
    <row r="114" spans="1:7">
      <c r="A114" s="25"/>
      <c r="B114" s="13"/>
      <c r="C114" s="34"/>
      <c r="D114" s="34"/>
      <c r="E114" s="34"/>
      <c r="F114" s="10"/>
      <c r="G114" s="3"/>
    </row>
    <row r="115" spans="1:7" ht="25.5">
      <c r="A115" s="36">
        <v>27</v>
      </c>
      <c r="B115" s="33" t="s">
        <v>279</v>
      </c>
      <c r="C115" s="171">
        <v>25275</v>
      </c>
      <c r="D115" s="51" t="s">
        <v>201</v>
      </c>
      <c r="E115" s="51">
        <v>65459</v>
      </c>
      <c r="F115" s="10"/>
      <c r="G115" s="3"/>
    </row>
    <row r="116" spans="1:7">
      <c r="A116" s="30" t="s">
        <v>196</v>
      </c>
      <c r="B116" s="126" t="s">
        <v>280</v>
      </c>
      <c r="C116" s="171">
        <v>28988</v>
      </c>
      <c r="D116" s="51" t="s">
        <v>201</v>
      </c>
      <c r="E116" s="52">
        <v>39397</v>
      </c>
      <c r="F116" s="10"/>
      <c r="G116" s="3"/>
    </row>
    <row r="117" spans="1:7">
      <c r="A117" s="25" t="s">
        <v>281</v>
      </c>
      <c r="B117" s="35" t="s">
        <v>124</v>
      </c>
      <c r="C117" s="171">
        <v>541</v>
      </c>
      <c r="D117" s="51" t="s">
        <v>201</v>
      </c>
      <c r="E117" s="25">
        <v>2990</v>
      </c>
      <c r="F117" s="10"/>
      <c r="G117" s="3"/>
    </row>
    <row r="118" spans="1:7">
      <c r="A118" s="25" t="s">
        <v>282</v>
      </c>
      <c r="B118" s="35" t="s">
        <v>125</v>
      </c>
      <c r="C118" s="171">
        <v>28447</v>
      </c>
      <c r="D118" s="51" t="s">
        <v>201</v>
      </c>
      <c r="E118" s="25">
        <v>36407</v>
      </c>
      <c r="F118" s="10"/>
      <c r="G118" s="3"/>
    </row>
    <row r="119" spans="1:7" ht="25.5">
      <c r="A119" s="30" t="s">
        <v>283</v>
      </c>
      <c r="B119" s="126" t="s">
        <v>284</v>
      </c>
      <c r="C119" s="171">
        <v>0</v>
      </c>
      <c r="D119" s="51">
        <v>3693</v>
      </c>
      <c r="E119" s="52">
        <v>26082</v>
      </c>
      <c r="F119" s="10"/>
      <c r="G119" s="3"/>
    </row>
    <row r="120" spans="1:7">
      <c r="A120" s="25" t="s">
        <v>285</v>
      </c>
      <c r="B120" s="35" t="s">
        <v>126</v>
      </c>
      <c r="C120" s="25">
        <v>0</v>
      </c>
      <c r="D120" s="51" t="s">
        <v>201</v>
      </c>
      <c r="E120" s="25"/>
      <c r="F120" s="10"/>
      <c r="G120" s="3"/>
    </row>
    <row r="121" spans="1:7">
      <c r="A121" s="27" t="s">
        <v>286</v>
      </c>
      <c r="B121" s="35" t="s">
        <v>287</v>
      </c>
      <c r="C121" s="171">
        <v>1260</v>
      </c>
      <c r="D121" s="51" t="s">
        <v>201</v>
      </c>
      <c r="E121" s="25">
        <v>23940</v>
      </c>
      <c r="F121" s="10"/>
      <c r="G121" s="3"/>
    </row>
    <row r="122" spans="1:7">
      <c r="A122" s="25" t="s">
        <v>288</v>
      </c>
      <c r="B122" s="35" t="s">
        <v>218</v>
      </c>
      <c r="C122" s="171">
        <v>0</v>
      </c>
      <c r="D122" s="51">
        <v>4950</v>
      </c>
      <c r="E122" s="25">
        <v>2142</v>
      </c>
      <c r="F122" s="10"/>
      <c r="G122" s="3"/>
    </row>
    <row r="123" spans="1:7">
      <c r="A123" s="25"/>
      <c r="B123" s="35"/>
      <c r="C123" s="25"/>
      <c r="D123" s="25"/>
      <c r="E123" s="25"/>
      <c r="F123" s="10"/>
      <c r="G123" s="3"/>
    </row>
    <row r="124" spans="1:7">
      <c r="A124" s="25" t="s">
        <v>86</v>
      </c>
      <c r="B124" s="25"/>
      <c r="C124" s="25"/>
      <c r="D124" s="25"/>
      <c r="E124" s="25"/>
      <c r="F124" s="10"/>
      <c r="G124" s="3"/>
    </row>
    <row r="125" spans="1:7">
      <c r="A125" s="30">
        <v>28</v>
      </c>
      <c r="B125" s="6" t="s">
        <v>289</v>
      </c>
      <c r="C125" s="52">
        <v>162</v>
      </c>
      <c r="D125" s="52">
        <f>SUM(D126:D127)</f>
        <v>0</v>
      </c>
      <c r="E125" s="25">
        <v>263777</v>
      </c>
      <c r="F125" s="10"/>
      <c r="G125" s="3"/>
    </row>
    <row r="126" spans="1:7">
      <c r="A126" s="25" t="s">
        <v>127</v>
      </c>
      <c r="B126" s="24" t="s">
        <v>40</v>
      </c>
      <c r="C126" s="25">
        <v>94</v>
      </c>
      <c r="D126" s="25">
        <v>0</v>
      </c>
      <c r="E126" s="25">
        <v>19108</v>
      </c>
      <c r="F126" s="10"/>
      <c r="G126" s="3"/>
    </row>
    <row r="127" spans="1:7">
      <c r="A127" s="25" t="s">
        <v>129</v>
      </c>
      <c r="B127" s="24" t="s">
        <v>41</v>
      </c>
      <c r="C127" s="25">
        <v>68</v>
      </c>
      <c r="D127" s="25">
        <v>0</v>
      </c>
      <c r="E127" s="25">
        <v>134460</v>
      </c>
      <c r="F127" s="10"/>
      <c r="G127" s="3"/>
    </row>
    <row r="128" spans="1:7">
      <c r="A128" s="25"/>
      <c r="C128" s="25"/>
      <c r="D128" s="25"/>
      <c r="E128" s="25"/>
      <c r="F128" s="10"/>
      <c r="G128" s="3"/>
    </row>
    <row r="129" spans="1:8">
      <c r="A129" s="30">
        <v>29</v>
      </c>
      <c r="B129" s="6" t="s">
        <v>290</v>
      </c>
      <c r="C129" s="25"/>
      <c r="D129" s="25"/>
      <c r="E129" s="25"/>
      <c r="F129" s="10"/>
      <c r="G129" s="3"/>
    </row>
    <row r="130" spans="1:8">
      <c r="A130" s="30" t="s">
        <v>165</v>
      </c>
      <c r="B130" s="6" t="s">
        <v>37</v>
      </c>
      <c r="C130" s="25">
        <v>36</v>
      </c>
      <c r="D130" s="25">
        <v>0</v>
      </c>
      <c r="E130" s="25">
        <v>14849</v>
      </c>
      <c r="F130" s="10"/>
      <c r="G130" s="3"/>
    </row>
    <row r="131" spans="1:8">
      <c r="A131" s="30" t="s">
        <v>166</v>
      </c>
      <c r="B131" s="6" t="s">
        <v>79</v>
      </c>
      <c r="C131" s="25">
        <v>1880</v>
      </c>
      <c r="D131" s="25">
        <v>0</v>
      </c>
      <c r="E131" s="25">
        <v>97276</v>
      </c>
      <c r="F131" s="10"/>
      <c r="G131" s="3"/>
    </row>
    <row r="132" spans="1:8">
      <c r="A132" s="30" t="s">
        <v>291</v>
      </c>
      <c r="B132" s="29" t="s">
        <v>222</v>
      </c>
      <c r="C132" s="25">
        <v>57</v>
      </c>
      <c r="D132" s="25"/>
      <c r="E132" s="25">
        <v>7751</v>
      </c>
      <c r="F132" s="6"/>
      <c r="G132" s="122"/>
    </row>
    <row r="133" spans="1:8">
      <c r="A133" s="30" t="s">
        <v>292</v>
      </c>
      <c r="B133" s="29" t="s">
        <v>293</v>
      </c>
      <c r="C133" s="25">
        <v>27843</v>
      </c>
      <c r="D133" s="25">
        <v>1</v>
      </c>
      <c r="E133" s="25">
        <v>1640863</v>
      </c>
      <c r="F133" s="6"/>
      <c r="G133" s="122"/>
    </row>
    <row r="134" spans="1:8">
      <c r="A134" s="30" t="s">
        <v>294</v>
      </c>
      <c r="B134" s="29" t="s">
        <v>223</v>
      </c>
      <c r="C134" s="25">
        <v>1308</v>
      </c>
      <c r="D134" s="30"/>
      <c r="E134" s="25">
        <v>44341</v>
      </c>
      <c r="F134" s="6"/>
      <c r="G134" s="122"/>
    </row>
    <row r="135" spans="1:8">
      <c r="A135" s="30" t="s">
        <v>295</v>
      </c>
      <c r="B135" s="37" t="s">
        <v>224</v>
      </c>
      <c r="C135" s="25">
        <v>26535</v>
      </c>
      <c r="D135" s="30"/>
      <c r="E135" s="25">
        <v>1596523</v>
      </c>
      <c r="F135" s="6"/>
      <c r="G135" s="122"/>
    </row>
    <row r="136" spans="1:8">
      <c r="A136" s="30" t="s">
        <v>296</v>
      </c>
      <c r="B136" s="37" t="s">
        <v>225</v>
      </c>
      <c r="C136" s="25"/>
      <c r="D136" s="30"/>
      <c r="E136" s="25">
        <v>272019</v>
      </c>
      <c r="F136" s="6"/>
      <c r="G136" s="122"/>
    </row>
    <row r="137" spans="1:8">
      <c r="A137" s="25"/>
      <c r="B137" s="6" t="s">
        <v>297</v>
      </c>
      <c r="C137" s="25"/>
      <c r="D137" s="25"/>
      <c r="E137" s="25"/>
      <c r="F137" s="10"/>
      <c r="G137" s="3"/>
    </row>
    <row r="138" spans="1:8">
      <c r="A138" s="38" t="s">
        <v>298</v>
      </c>
      <c r="B138" s="37" t="s">
        <v>197</v>
      </c>
      <c r="C138" s="25">
        <v>11</v>
      </c>
      <c r="D138" s="30"/>
      <c r="E138" s="30"/>
      <c r="F138" s="6"/>
      <c r="G138" s="122"/>
    </row>
    <row r="139" spans="1:8">
      <c r="A139" s="38" t="s">
        <v>299</v>
      </c>
      <c r="B139" s="37" t="s">
        <v>198</v>
      </c>
      <c r="C139" s="25">
        <v>623</v>
      </c>
      <c r="D139" s="30"/>
      <c r="E139" s="30"/>
      <c r="F139" s="6"/>
      <c r="G139" s="122"/>
    </row>
    <row r="140" spans="1:8">
      <c r="A140" s="38" t="s">
        <v>300</v>
      </c>
      <c r="B140" s="37" t="s">
        <v>199</v>
      </c>
      <c r="C140" s="34">
        <v>12500</v>
      </c>
      <c r="D140" s="30"/>
      <c r="E140" s="30"/>
      <c r="F140" s="6"/>
      <c r="G140" s="122"/>
      <c r="H140" s="63">
        <v>12500000000000</v>
      </c>
    </row>
    <row r="141" spans="1:8">
      <c r="A141" s="38" t="s">
        <v>301</v>
      </c>
      <c r="B141" s="37" t="s">
        <v>200</v>
      </c>
      <c r="C141" s="34">
        <v>934500</v>
      </c>
      <c r="D141" s="30" t="s">
        <v>201</v>
      </c>
      <c r="E141" s="30"/>
      <c r="F141" s="6"/>
      <c r="G141" s="122"/>
    </row>
    <row r="142" spans="1:8">
      <c r="A142" s="30" t="s">
        <v>302</v>
      </c>
      <c r="B142" s="37" t="s">
        <v>220</v>
      </c>
      <c r="C142" s="25">
        <v>10</v>
      </c>
      <c r="D142" s="30"/>
      <c r="E142" s="30">
        <v>1401</v>
      </c>
      <c r="F142" s="6"/>
      <c r="G142" s="122"/>
    </row>
    <row r="143" spans="1:8">
      <c r="A143" s="30" t="s">
        <v>303</v>
      </c>
      <c r="B143" s="37" t="s">
        <v>221</v>
      </c>
      <c r="C143" s="25">
        <v>0</v>
      </c>
      <c r="D143" s="30"/>
      <c r="E143" s="30"/>
      <c r="F143" s="6"/>
      <c r="G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1255700</v>
      </c>
    </row>
    <row r="148" spans="1:9">
      <c r="A148" s="27" t="s">
        <v>169</v>
      </c>
      <c r="B148" s="10" t="s">
        <v>167</v>
      </c>
      <c r="C148" s="9">
        <v>1255700</v>
      </c>
      <c r="D148" t="s">
        <v>376</v>
      </c>
    </row>
    <row r="149" spans="1:9">
      <c r="A149" s="27" t="s">
        <v>171</v>
      </c>
      <c r="B149" s="10" t="s">
        <v>168</v>
      </c>
      <c r="C149" s="9" t="s">
        <v>377</v>
      </c>
    </row>
    <row r="150" spans="1:9">
      <c r="A150" s="38">
        <v>31</v>
      </c>
      <c r="B150" s="33" t="s">
        <v>305</v>
      </c>
      <c r="C150" s="9"/>
    </row>
    <row r="151" spans="1:9">
      <c r="A151" s="27" t="s">
        <v>137</v>
      </c>
      <c r="B151" s="10" t="s">
        <v>170</v>
      </c>
      <c r="C151" s="9" t="s">
        <v>377</v>
      </c>
    </row>
    <row r="152" spans="1:9">
      <c r="A152" s="27" t="s">
        <v>138</v>
      </c>
      <c r="B152" s="10" t="s">
        <v>172</v>
      </c>
      <c r="C152" s="9" t="s">
        <v>377</v>
      </c>
    </row>
    <row r="153" spans="1:9">
      <c r="A153" s="27"/>
      <c r="B153" s="10"/>
      <c r="C153" s="9"/>
    </row>
    <row r="154" spans="1:9">
      <c r="A154" s="30"/>
      <c r="B154" s="1201" t="s">
        <v>306</v>
      </c>
      <c r="C154" s="1202"/>
    </row>
    <row r="155" spans="1:9">
      <c r="A155" s="30">
        <v>32</v>
      </c>
      <c r="B155" s="26" t="s">
        <v>307</v>
      </c>
      <c r="C155" s="52">
        <f>180847+4256</f>
        <v>185103</v>
      </c>
    </row>
    <row r="156" spans="1:9">
      <c r="A156" s="25" t="s">
        <v>308</v>
      </c>
      <c r="B156" s="28" t="s">
        <v>69</v>
      </c>
      <c r="C156" s="25">
        <f>99653+3086</f>
        <v>102739</v>
      </c>
    </row>
    <row r="157" spans="1:9">
      <c r="A157" s="27" t="s">
        <v>309</v>
      </c>
      <c r="B157" s="28" t="s">
        <v>70</v>
      </c>
      <c r="C157" s="25">
        <f>71436+76</f>
        <v>71512</v>
      </c>
    </row>
    <row r="158" spans="1:9">
      <c r="A158" s="30">
        <v>33</v>
      </c>
      <c r="B158" s="41" t="s">
        <v>71</v>
      </c>
      <c r="C158" s="25">
        <v>364</v>
      </c>
    </row>
    <row r="159" spans="1:9">
      <c r="A159" s="30">
        <v>34</v>
      </c>
      <c r="B159" s="26" t="s">
        <v>310</v>
      </c>
      <c r="C159" s="52">
        <v>3577</v>
      </c>
    </row>
    <row r="160" spans="1:9">
      <c r="A160" s="25" t="s">
        <v>173</v>
      </c>
      <c r="B160" s="28" t="s">
        <v>72</v>
      </c>
      <c r="C160" s="25">
        <v>50</v>
      </c>
    </row>
    <row r="161" spans="1:7">
      <c r="A161" s="27" t="s">
        <v>175</v>
      </c>
      <c r="B161" s="28" t="s">
        <v>73</v>
      </c>
      <c r="C161" s="25">
        <v>1626</v>
      </c>
    </row>
    <row r="162" spans="1:7">
      <c r="A162" s="27" t="s">
        <v>177</v>
      </c>
      <c r="B162" s="28" t="s">
        <v>214</v>
      </c>
      <c r="C162" s="25">
        <v>1901</v>
      </c>
    </row>
    <row r="163" spans="1:7">
      <c r="A163" s="23">
        <v>35</v>
      </c>
      <c r="B163" s="26" t="s">
        <v>311</v>
      </c>
      <c r="C163" s="52">
        <v>9860</v>
      </c>
    </row>
    <row r="164" spans="1:7">
      <c r="A164" s="39" t="s">
        <v>312</v>
      </c>
      <c r="B164" s="41" t="s">
        <v>174</v>
      </c>
      <c r="C164" s="25">
        <v>7445</v>
      </c>
    </row>
    <row r="165" spans="1:7">
      <c r="A165" s="27" t="s">
        <v>313</v>
      </c>
      <c r="B165" s="41" t="s">
        <v>176</v>
      </c>
      <c r="C165" s="34">
        <v>279432</v>
      </c>
    </row>
    <row r="166" spans="1:7">
      <c r="A166" s="27" t="s">
        <v>314</v>
      </c>
      <c r="B166" s="41" t="s">
        <v>178</v>
      </c>
      <c r="C166" s="25">
        <v>2136</v>
      </c>
    </row>
    <row r="168" spans="1:7">
      <c r="A168" s="23"/>
      <c r="B168" s="129" t="s">
        <v>87</v>
      </c>
      <c r="C168" s="127"/>
      <c r="D168" s="127"/>
      <c r="E168" s="130"/>
      <c r="F168" s="131"/>
    </row>
    <row r="169" spans="1:7">
      <c r="A169" s="23">
        <v>36</v>
      </c>
      <c r="B169" s="132" t="s">
        <v>74</v>
      </c>
      <c r="C169" s="133">
        <v>2737</v>
      </c>
      <c r="D169" s="134"/>
      <c r="E169" s="46"/>
      <c r="F169" s="46"/>
      <c r="G169" s="135"/>
    </row>
    <row r="170" spans="1:7">
      <c r="A170" s="23">
        <v>37</v>
      </c>
      <c r="B170" s="41" t="s">
        <v>75</v>
      </c>
      <c r="C170" s="136">
        <v>3894</v>
      </c>
      <c r="D170" s="134"/>
      <c r="E170" s="46"/>
      <c r="F170" s="46"/>
      <c r="G170" s="135"/>
    </row>
    <row r="171" spans="1:7">
      <c r="A171" s="23">
        <v>38</v>
      </c>
      <c r="B171" s="26" t="s">
        <v>315</v>
      </c>
      <c r="C171" s="54">
        <v>11328</v>
      </c>
      <c r="D171" s="137"/>
      <c r="E171" s="138"/>
      <c r="F171" s="138"/>
      <c r="G171" s="138"/>
    </row>
    <row r="172" spans="1:7">
      <c r="A172" s="39" t="s">
        <v>118</v>
      </c>
      <c r="B172" s="28" t="s">
        <v>208</v>
      </c>
      <c r="C172" s="133">
        <v>3991</v>
      </c>
      <c r="D172" s="134"/>
      <c r="E172" s="46"/>
      <c r="F172" s="46"/>
      <c r="G172" s="135"/>
    </row>
    <row r="173" spans="1:7">
      <c r="A173" s="39" t="s">
        <v>119</v>
      </c>
      <c r="B173" s="28" t="s">
        <v>209</v>
      </c>
      <c r="C173" s="40">
        <v>706</v>
      </c>
      <c r="D173" s="134"/>
      <c r="E173" s="46"/>
      <c r="F173" s="46"/>
      <c r="G173" s="135"/>
    </row>
    <row r="174" spans="1:7">
      <c r="A174" s="27" t="s">
        <v>120</v>
      </c>
      <c r="B174" s="28" t="s">
        <v>210</v>
      </c>
      <c r="C174" s="40">
        <v>6631</v>
      </c>
      <c r="D174" s="134"/>
      <c r="E174" s="46"/>
      <c r="F174" s="46"/>
      <c r="G174" s="135"/>
    </row>
    <row r="175" spans="1:7">
      <c r="A175" s="23">
        <v>39</v>
      </c>
      <c r="B175" s="26" t="s">
        <v>316</v>
      </c>
      <c r="C175" s="54">
        <v>23496</v>
      </c>
      <c r="D175" s="134"/>
      <c r="E175" s="46"/>
      <c r="F175" s="46"/>
      <c r="G175" s="135"/>
    </row>
    <row r="176" spans="1:7">
      <c r="A176" s="39" t="s">
        <v>317</v>
      </c>
      <c r="B176" s="28" t="s">
        <v>76</v>
      </c>
      <c r="C176" s="40">
        <v>5206</v>
      </c>
      <c r="D176" s="134"/>
      <c r="E176" s="46"/>
      <c r="F176" s="46"/>
      <c r="G176" s="135"/>
    </row>
    <row r="177" spans="1:7">
      <c r="A177" s="39" t="s">
        <v>318</v>
      </c>
      <c r="B177" s="28" t="s">
        <v>77</v>
      </c>
      <c r="C177" s="40">
        <v>8</v>
      </c>
      <c r="D177" s="134"/>
      <c r="E177" s="46"/>
      <c r="F177" s="46"/>
      <c r="G177" s="135"/>
    </row>
    <row r="178" spans="1:7">
      <c r="A178" s="27" t="s">
        <v>319</v>
      </c>
      <c r="B178" s="28" t="s">
        <v>78</v>
      </c>
      <c r="C178" s="40">
        <v>18282</v>
      </c>
      <c r="D178" s="134"/>
      <c r="E178" s="46"/>
      <c r="F178" s="46"/>
      <c r="G178" s="135"/>
    </row>
    <row r="179" spans="1:7">
      <c r="A179" s="39"/>
      <c r="B179" s="28"/>
      <c r="C179" s="40"/>
      <c r="D179" s="134"/>
      <c r="E179" s="46"/>
      <c r="F179" s="46"/>
      <c r="G179" s="135"/>
    </row>
    <row r="180" spans="1:7">
      <c r="A180" s="39"/>
      <c r="B180" s="139" t="s">
        <v>88</v>
      </c>
      <c r="C180" s="40"/>
      <c r="D180" s="134"/>
      <c r="E180" s="46"/>
      <c r="F180" s="46"/>
      <c r="G180" s="135"/>
    </row>
    <row r="181" spans="1:7">
      <c r="A181" s="23">
        <v>40</v>
      </c>
      <c r="B181" s="41" t="s">
        <v>74</v>
      </c>
      <c r="C181" s="40">
        <v>1461</v>
      </c>
      <c r="D181" s="134"/>
      <c r="E181" s="46"/>
      <c r="F181" s="46"/>
      <c r="G181" s="135"/>
    </row>
    <row r="182" spans="1:7">
      <c r="A182" s="23">
        <v>41</v>
      </c>
      <c r="B182" s="41" t="s">
        <v>75</v>
      </c>
      <c r="C182" s="40">
        <v>7110</v>
      </c>
      <c r="D182" s="134"/>
      <c r="E182" s="46"/>
      <c r="F182" s="46"/>
      <c r="G182" s="135"/>
    </row>
    <row r="183" spans="1:7">
      <c r="A183" s="23">
        <v>42</v>
      </c>
      <c r="B183" s="26" t="s">
        <v>320</v>
      </c>
      <c r="C183" s="54">
        <v>17529</v>
      </c>
      <c r="D183" s="134"/>
      <c r="E183" s="46"/>
      <c r="F183" s="46"/>
      <c r="G183" s="135"/>
    </row>
    <row r="184" spans="1:7">
      <c r="A184" s="39" t="s">
        <v>96</v>
      </c>
      <c r="B184" s="28" t="s">
        <v>211</v>
      </c>
      <c r="C184" s="136">
        <v>6551</v>
      </c>
      <c r="D184" s="134"/>
      <c r="E184" s="46"/>
      <c r="F184" s="46"/>
      <c r="G184" s="135"/>
    </row>
    <row r="185" spans="1:7">
      <c r="A185" s="39" t="s">
        <v>97</v>
      </c>
      <c r="B185" s="28" t="s">
        <v>212</v>
      </c>
      <c r="C185" s="40">
        <v>2407</v>
      </c>
      <c r="D185" s="140"/>
      <c r="E185" s="141"/>
      <c r="F185" s="46"/>
      <c r="G185" s="135"/>
    </row>
    <row r="186" spans="1:7">
      <c r="A186" s="27" t="s">
        <v>98</v>
      </c>
      <c r="B186" s="28" t="s">
        <v>213</v>
      </c>
      <c r="C186" s="25">
        <v>8571</v>
      </c>
      <c r="D186" s="25"/>
      <c r="E186" s="25"/>
      <c r="F186" s="46"/>
    </row>
    <row r="187" spans="1:7">
      <c r="A187" s="23">
        <v>43</v>
      </c>
      <c r="B187" s="26" t="s">
        <v>321</v>
      </c>
      <c r="C187" s="54">
        <v>17742</v>
      </c>
      <c r="D187" s="25"/>
      <c r="E187" s="25"/>
      <c r="F187" s="46"/>
    </row>
    <row r="188" spans="1:7">
      <c r="A188" s="39" t="s">
        <v>100</v>
      </c>
      <c r="B188" s="28" t="s">
        <v>76</v>
      </c>
      <c r="C188" s="40">
        <v>5735</v>
      </c>
      <c r="D188" s="25"/>
      <c r="E188" s="25"/>
      <c r="F188" s="46"/>
    </row>
    <row r="189" spans="1:7">
      <c r="A189" s="39" t="s">
        <v>101</v>
      </c>
      <c r="B189" s="28" t="s">
        <v>77</v>
      </c>
      <c r="C189" s="40">
        <v>76</v>
      </c>
      <c r="D189" s="25"/>
      <c r="E189" s="25"/>
      <c r="F189" s="46"/>
    </row>
    <row r="190" spans="1:7">
      <c r="A190" s="25" t="s">
        <v>102</v>
      </c>
      <c r="B190" s="13" t="s">
        <v>78</v>
      </c>
      <c r="C190" s="40">
        <v>11931</v>
      </c>
      <c r="D190" s="25"/>
      <c r="E190" s="25"/>
      <c r="F190" s="46"/>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f>SUM(C195:C197)</f>
        <v>354</v>
      </c>
      <c r="D194" s="52">
        <f>SUM(D195:D197)</f>
        <v>0</v>
      </c>
      <c r="E194" s="52">
        <f>SUM(E195:E197)</f>
        <v>0</v>
      </c>
      <c r="F194" s="145"/>
    </row>
    <row r="195" spans="1:6">
      <c r="A195" s="25" t="s">
        <v>121</v>
      </c>
      <c r="B195" s="13" t="s">
        <v>181</v>
      </c>
      <c r="C195" s="40">
        <v>348</v>
      </c>
      <c r="D195" s="25"/>
      <c r="E195" s="25"/>
      <c r="F195" s="46"/>
    </row>
    <row r="196" spans="1:6">
      <c r="A196" s="25" t="s">
        <v>122</v>
      </c>
      <c r="B196" s="13" t="s">
        <v>182</v>
      </c>
      <c r="C196" s="40">
        <v>6</v>
      </c>
      <c r="D196" s="25"/>
      <c r="E196" s="25"/>
      <c r="F196" s="46"/>
    </row>
    <row r="197" spans="1:6">
      <c r="A197" s="27" t="s">
        <v>123</v>
      </c>
      <c r="B197" s="13" t="s">
        <v>180</v>
      </c>
      <c r="C197" s="40">
        <v>0</v>
      </c>
      <c r="D197" s="25"/>
      <c r="E197" s="25"/>
      <c r="F197" s="46"/>
    </row>
    <row r="198" spans="1:6">
      <c r="A198" s="30">
        <v>45</v>
      </c>
      <c r="B198" s="6" t="s">
        <v>324</v>
      </c>
      <c r="C198" s="54">
        <f>SUM(C199:C201)</f>
        <v>10564</v>
      </c>
      <c r="D198" s="52">
        <f>SUM(D199:D201)</f>
        <v>0</v>
      </c>
      <c r="E198" s="52">
        <f>SUM(E199:E201)</f>
        <v>0</v>
      </c>
      <c r="F198" s="145"/>
    </row>
    <row r="199" spans="1:6">
      <c r="A199" s="25" t="s">
        <v>325</v>
      </c>
      <c r="B199" s="13" t="s">
        <v>80</v>
      </c>
      <c r="C199" s="40">
        <v>10406</v>
      </c>
      <c r="D199" s="25"/>
      <c r="E199" s="25"/>
      <c r="F199" s="46"/>
    </row>
    <row r="200" spans="1:6">
      <c r="A200" s="25" t="s">
        <v>326</v>
      </c>
      <c r="B200" s="13" t="s">
        <v>60</v>
      </c>
      <c r="C200" s="40">
        <v>158</v>
      </c>
      <c r="D200" s="25"/>
      <c r="E200" s="25"/>
      <c r="F200" s="46"/>
    </row>
    <row r="201" spans="1:6">
      <c r="A201" s="27" t="s">
        <v>327</v>
      </c>
      <c r="B201" s="13" t="s">
        <v>180</v>
      </c>
      <c r="C201" s="40">
        <v>0</v>
      </c>
      <c r="D201" s="25"/>
      <c r="E201" s="25"/>
      <c r="F201" s="46"/>
    </row>
    <row r="202" spans="1:6">
      <c r="A202" s="44"/>
      <c r="B202" s="45"/>
      <c r="C202" s="46"/>
      <c r="D202" s="146"/>
      <c r="E202" s="147"/>
      <c r="F202" s="46"/>
    </row>
    <row r="203" spans="1:6">
      <c r="A203" s="30">
        <v>46</v>
      </c>
      <c r="B203" s="10" t="s">
        <v>203</v>
      </c>
      <c r="C203" s="40">
        <v>0</v>
      </c>
      <c r="D203" s="25"/>
      <c r="E203" s="25"/>
      <c r="F203" s="46"/>
    </row>
    <row r="204" spans="1:6">
      <c r="A204" s="30">
        <v>47</v>
      </c>
      <c r="B204" s="49" t="s">
        <v>204</v>
      </c>
      <c r="C204" s="40">
        <v>0</v>
      </c>
      <c r="D204" s="25"/>
      <c r="E204" s="25"/>
      <c r="F204" s="46"/>
    </row>
    <row r="205" spans="1:6">
      <c r="A205" s="30">
        <v>48</v>
      </c>
      <c r="B205" s="10" t="s">
        <v>179</v>
      </c>
      <c r="C205" s="40">
        <v>0</v>
      </c>
      <c r="D205" s="25"/>
      <c r="E205" s="25"/>
      <c r="F205" s="46"/>
    </row>
    <row r="206" spans="1:6">
      <c r="A206" s="30">
        <v>49</v>
      </c>
      <c r="B206" s="10" t="s">
        <v>61</v>
      </c>
      <c r="C206" s="40">
        <v>5725</v>
      </c>
      <c r="D206" s="25"/>
      <c r="E206" s="25"/>
      <c r="F206" s="46"/>
    </row>
    <row r="207" spans="1:6">
      <c r="A207" s="148">
        <v>50</v>
      </c>
      <c r="B207" s="48" t="s">
        <v>202</v>
      </c>
      <c r="C207" s="47"/>
      <c r="D207" s="149"/>
      <c r="E207" s="150"/>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c r="D211" s="52"/>
      <c r="E211" s="9"/>
      <c r="F211" s="10"/>
    </row>
    <row r="212" spans="1:6" s="1" customFormat="1">
      <c r="A212" s="27" t="s">
        <v>329</v>
      </c>
      <c r="B212" s="13" t="s">
        <v>226</v>
      </c>
      <c r="C212" s="9">
        <v>48</v>
      </c>
      <c r="D212" s="9">
        <v>48</v>
      </c>
      <c r="E212" s="9">
        <v>129</v>
      </c>
      <c r="F212" s="10"/>
    </row>
    <row r="213" spans="1:6" s="1" customFormat="1">
      <c r="A213" s="27" t="s">
        <v>330</v>
      </c>
      <c r="B213" s="35" t="s">
        <v>128</v>
      </c>
      <c r="C213" s="9">
        <v>0</v>
      </c>
      <c r="D213" s="9">
        <v>0</v>
      </c>
      <c r="E213" s="9">
        <v>0</v>
      </c>
      <c r="F213" s="10"/>
    </row>
    <row r="214" spans="1:6" s="1" customFormat="1">
      <c r="A214" s="27" t="s">
        <v>331</v>
      </c>
      <c r="B214" s="13" t="s">
        <v>227</v>
      </c>
      <c r="C214" s="9">
        <v>0</v>
      </c>
      <c r="D214" s="9">
        <v>20</v>
      </c>
      <c r="E214" s="9">
        <v>60</v>
      </c>
      <c r="F214" s="10"/>
    </row>
    <row r="215" spans="1:6" s="1" customFormat="1">
      <c r="A215" s="27" t="s">
        <v>332</v>
      </c>
      <c r="B215" s="35" t="s">
        <v>130</v>
      </c>
      <c r="C215" s="9">
        <v>0</v>
      </c>
      <c r="D215" s="9">
        <v>0</v>
      </c>
      <c r="E215" s="9">
        <v>0</v>
      </c>
      <c r="F215" s="10"/>
    </row>
    <row r="216" spans="1:6" s="1" customFormat="1">
      <c r="A216" s="27" t="s">
        <v>333</v>
      </c>
      <c r="B216" s="13" t="s">
        <v>232</v>
      </c>
      <c r="C216" s="9">
        <v>0</v>
      </c>
      <c r="D216" s="9">
        <v>0</v>
      </c>
      <c r="E216" s="9">
        <v>0</v>
      </c>
      <c r="F216" s="10"/>
    </row>
    <row r="217" spans="1:6" s="1" customFormat="1">
      <c r="A217" s="27" t="s">
        <v>334</v>
      </c>
      <c r="B217" s="35" t="s">
        <v>131</v>
      </c>
      <c r="C217" s="9">
        <v>0</v>
      </c>
      <c r="D217" s="9">
        <v>0</v>
      </c>
      <c r="E217" s="9">
        <v>1</v>
      </c>
      <c r="F217" s="10"/>
    </row>
    <row r="218" spans="1:6" s="1" customFormat="1">
      <c r="A218" s="27" t="s">
        <v>335</v>
      </c>
      <c r="B218" s="13" t="s">
        <v>233</v>
      </c>
      <c r="C218" s="9">
        <v>8</v>
      </c>
      <c r="D218" s="9">
        <v>0</v>
      </c>
      <c r="E218" s="9">
        <v>4</v>
      </c>
      <c r="F218" s="10"/>
    </row>
    <row r="219" spans="1:6" s="1" customFormat="1">
      <c r="A219" s="27" t="s">
        <v>336</v>
      </c>
      <c r="B219" s="35" t="s">
        <v>132</v>
      </c>
      <c r="C219" s="9">
        <v>0</v>
      </c>
      <c r="D219" s="9">
        <v>0</v>
      </c>
      <c r="E219" s="9">
        <v>0</v>
      </c>
      <c r="F219" s="10"/>
    </row>
    <row r="220" spans="1:6" s="1" customFormat="1">
      <c r="A220" s="27" t="s">
        <v>337</v>
      </c>
      <c r="B220" s="13" t="s">
        <v>234</v>
      </c>
      <c r="C220" s="9">
        <v>0</v>
      </c>
      <c r="D220" s="9">
        <v>0</v>
      </c>
      <c r="E220" s="9">
        <v>71</v>
      </c>
      <c r="F220" s="10"/>
    </row>
    <row r="221" spans="1:6" s="1" customFormat="1">
      <c r="A221" s="27" t="s">
        <v>338</v>
      </c>
      <c r="B221" s="35" t="s">
        <v>133</v>
      </c>
      <c r="C221" s="9">
        <v>0</v>
      </c>
      <c r="D221" s="9">
        <v>0</v>
      </c>
      <c r="E221" s="9">
        <v>0</v>
      </c>
      <c r="F221" s="10"/>
    </row>
    <row r="222" spans="1:6" s="1" customFormat="1">
      <c r="A222" s="27" t="s">
        <v>339</v>
      </c>
      <c r="B222" s="13" t="s">
        <v>235</v>
      </c>
      <c r="C222" s="9">
        <v>0</v>
      </c>
      <c r="D222" s="9">
        <v>0</v>
      </c>
      <c r="E222" s="9">
        <v>2</v>
      </c>
      <c r="F222" s="10"/>
    </row>
    <row r="223" spans="1:6" s="1" customFormat="1">
      <c r="A223" s="27" t="s">
        <v>340</v>
      </c>
      <c r="B223" s="35" t="s">
        <v>134</v>
      </c>
      <c r="C223" s="9">
        <v>0</v>
      </c>
      <c r="D223" s="9">
        <v>0</v>
      </c>
      <c r="E223" s="9">
        <v>0</v>
      </c>
      <c r="F223" s="10"/>
    </row>
    <row r="224" spans="1:6" s="1" customFormat="1">
      <c r="A224" s="27" t="s">
        <v>341</v>
      </c>
      <c r="B224" s="13" t="s">
        <v>236</v>
      </c>
      <c r="C224" s="9">
        <v>0</v>
      </c>
      <c r="D224" s="9">
        <v>0</v>
      </c>
      <c r="E224" s="9" t="s">
        <v>378</v>
      </c>
      <c r="F224" s="10"/>
    </row>
    <row r="225" spans="1:8" s="1" customFormat="1">
      <c r="A225" s="27" t="s">
        <v>342</v>
      </c>
      <c r="B225" s="35" t="s">
        <v>135</v>
      </c>
      <c r="C225" s="9">
        <v>0</v>
      </c>
      <c r="D225" s="9">
        <v>0</v>
      </c>
      <c r="E225" s="9">
        <v>0</v>
      </c>
      <c r="F225" s="10"/>
    </row>
    <row r="226" spans="1:8" s="1" customFormat="1">
      <c r="A226" s="27" t="s">
        <v>343</v>
      </c>
      <c r="B226" s="13" t="s">
        <v>237</v>
      </c>
      <c r="C226" s="9">
        <v>0</v>
      </c>
      <c r="D226" s="9">
        <v>0</v>
      </c>
      <c r="E226" s="9">
        <v>17</v>
      </c>
      <c r="F226" s="10"/>
    </row>
    <row r="227" spans="1:8" s="1" customFormat="1">
      <c r="A227" s="27" t="s">
        <v>344</v>
      </c>
      <c r="B227" s="152" t="s">
        <v>136</v>
      </c>
      <c r="C227" s="9">
        <v>0</v>
      </c>
      <c r="D227" s="9">
        <v>0</v>
      </c>
      <c r="E227" s="9">
        <v>0</v>
      </c>
      <c r="F227" s="10"/>
    </row>
    <row r="228" spans="1:8">
      <c r="A228" s="47"/>
      <c r="B228" s="151"/>
      <c r="C228" s="47"/>
      <c r="D228" s="47"/>
      <c r="E228" s="47"/>
      <c r="F228" s="47"/>
    </row>
    <row r="229" spans="1:8">
      <c r="A229" s="47"/>
      <c r="B229" s="153" t="s">
        <v>345</v>
      </c>
      <c r="C229" s="35"/>
      <c r="D229" s="154"/>
      <c r="E229" s="154"/>
      <c r="F229" s="154"/>
    </row>
    <row r="230" spans="1:8">
      <c r="A230" s="27" t="s">
        <v>346</v>
      </c>
      <c r="B230" s="155" t="s">
        <v>238</v>
      </c>
      <c r="C230" s="165" t="s">
        <v>378</v>
      </c>
      <c r="D230" s="47"/>
      <c r="E230" s="47"/>
      <c r="F230" s="47"/>
    </row>
    <row r="231" spans="1:8">
      <c r="A231" s="27" t="s">
        <v>347</v>
      </c>
      <c r="B231" s="152" t="s">
        <v>115</v>
      </c>
      <c r="C231" s="164" t="s">
        <v>378</v>
      </c>
      <c r="D231" s="156"/>
      <c r="E231" s="156"/>
      <c r="F231" s="47"/>
    </row>
    <row r="232" spans="1:8">
      <c r="A232" s="27" t="s">
        <v>348</v>
      </c>
      <c r="B232" s="155" t="s">
        <v>239</v>
      </c>
      <c r="C232" s="164" t="s">
        <v>378</v>
      </c>
      <c r="D232" s="156"/>
      <c r="E232" s="156"/>
      <c r="F232" s="47"/>
    </row>
    <row r="233" spans="1:8">
      <c r="A233" s="27" t="s">
        <v>349</v>
      </c>
      <c r="B233" s="152" t="s">
        <v>116</v>
      </c>
      <c r="C233" s="164" t="s">
        <v>378</v>
      </c>
      <c r="D233" s="156"/>
      <c r="E233" s="156"/>
      <c r="F233" s="47"/>
    </row>
    <row r="234" spans="1:8" ht="25.5">
      <c r="A234" s="27" t="s">
        <v>350</v>
      </c>
      <c r="B234" s="155" t="s">
        <v>240</v>
      </c>
      <c r="C234" s="164" t="s">
        <v>378</v>
      </c>
      <c r="D234" s="47"/>
      <c r="E234" s="47"/>
      <c r="F234" s="47"/>
    </row>
    <row r="235" spans="1:8">
      <c r="A235" s="27" t="s">
        <v>351</v>
      </c>
      <c r="B235" s="152" t="s">
        <v>117</v>
      </c>
      <c r="C235" s="164" t="s">
        <v>378</v>
      </c>
      <c r="D235" s="157"/>
      <c r="E235" s="15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168</v>
      </c>
      <c r="D239" s="25"/>
      <c r="E239" s="40"/>
      <c r="F239" s="40"/>
      <c r="G239" s="10"/>
      <c r="H239" s="3"/>
    </row>
    <row r="240" spans="1:8">
      <c r="A240" s="30">
        <v>53</v>
      </c>
      <c r="B240" s="10" t="s">
        <v>63</v>
      </c>
      <c r="C240" s="25">
        <v>8995</v>
      </c>
      <c r="D240" s="167" t="s">
        <v>384</v>
      </c>
      <c r="E240" s="40"/>
      <c r="F240" s="40"/>
      <c r="G240" s="10"/>
      <c r="H240" s="3"/>
    </row>
    <row r="241" spans="1:10">
      <c r="A241" s="30">
        <v>54</v>
      </c>
      <c r="B241" s="10" t="s">
        <v>215</v>
      </c>
      <c r="C241" s="25">
        <v>114</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746</v>
      </c>
      <c r="D245" s="52">
        <f>SUM(D246:D251)</f>
        <v>629</v>
      </c>
      <c r="E245" s="54">
        <f>SUM(E246:E251)</f>
        <v>104</v>
      </c>
      <c r="F245" s="54">
        <f>SUM(F246:F251)</f>
        <v>100</v>
      </c>
      <c r="G245" s="52">
        <f>SUM(C245:F245)</f>
        <v>1579</v>
      </c>
      <c r="H245" s="145"/>
    </row>
    <row r="246" spans="1:10">
      <c r="A246" s="25" t="s">
        <v>353</v>
      </c>
      <c r="B246" s="13" t="s">
        <v>64</v>
      </c>
      <c r="C246" s="25">
        <f>56+350+1</f>
        <v>407</v>
      </c>
      <c r="D246" s="25">
        <f>38+379</f>
        <v>417</v>
      </c>
      <c r="E246" s="40">
        <v>13</v>
      </c>
      <c r="F246" s="40">
        <f>38+3</f>
        <v>41</v>
      </c>
      <c r="G246" s="52">
        <f t="shared" ref="G246:G251" si="0">SUM(C246:F246)</f>
        <v>878</v>
      </c>
      <c r="H246" s="3"/>
      <c r="J246" s="25"/>
    </row>
    <row r="247" spans="1:10">
      <c r="A247" s="27" t="s">
        <v>354</v>
      </c>
      <c r="B247" s="13" t="s">
        <v>65</v>
      </c>
      <c r="C247" s="25">
        <v>0</v>
      </c>
      <c r="D247" s="25">
        <v>0</v>
      </c>
      <c r="E247" s="40">
        <v>0</v>
      </c>
      <c r="F247" s="40">
        <v>0</v>
      </c>
      <c r="G247" s="52">
        <f t="shared" si="0"/>
        <v>0</v>
      </c>
      <c r="H247" s="3"/>
    </row>
    <row r="248" spans="1:10">
      <c r="A248" s="27" t="s">
        <v>355</v>
      </c>
      <c r="B248" s="13" t="s">
        <v>66</v>
      </c>
      <c r="C248" s="25">
        <v>8</v>
      </c>
      <c r="D248" s="25">
        <v>9</v>
      </c>
      <c r="E248" s="40">
        <v>8</v>
      </c>
      <c r="F248" s="40">
        <v>30</v>
      </c>
      <c r="G248" s="52">
        <f t="shared" si="0"/>
        <v>55</v>
      </c>
      <c r="H248" s="3"/>
    </row>
    <row r="249" spans="1:10">
      <c r="A249" s="27" t="s">
        <v>356</v>
      </c>
      <c r="B249" s="13" t="s">
        <v>67</v>
      </c>
      <c r="C249" s="25">
        <v>18</v>
      </c>
      <c r="D249" s="25">
        <v>2</v>
      </c>
      <c r="E249" s="40">
        <v>8</v>
      </c>
      <c r="F249" s="40">
        <v>21</v>
      </c>
      <c r="G249" s="52">
        <f t="shared" si="0"/>
        <v>49</v>
      </c>
      <c r="H249" s="3"/>
    </row>
    <row r="250" spans="1:10">
      <c r="A250" s="25" t="s">
        <v>357</v>
      </c>
      <c r="B250" s="13" t="s">
        <v>68</v>
      </c>
      <c r="C250" s="25">
        <v>33</v>
      </c>
      <c r="D250" s="25">
        <v>20</v>
      </c>
      <c r="E250" s="40">
        <v>35</v>
      </c>
      <c r="F250" s="40">
        <v>8</v>
      </c>
      <c r="G250" s="52">
        <f t="shared" si="0"/>
        <v>96</v>
      </c>
      <c r="H250" s="3"/>
    </row>
    <row r="251" spans="1:10">
      <c r="A251" s="27" t="s">
        <v>358</v>
      </c>
      <c r="B251" s="155" t="s">
        <v>183</v>
      </c>
      <c r="C251" s="25">
        <v>280</v>
      </c>
      <c r="D251" s="25">
        <v>181</v>
      </c>
      <c r="E251" s="40">
        <v>40</v>
      </c>
      <c r="F251" s="40">
        <v>0</v>
      </c>
      <c r="G251" s="52">
        <f t="shared" si="0"/>
        <v>501</v>
      </c>
      <c r="H251" s="3"/>
    </row>
    <row r="252" spans="1:10" ht="15">
      <c r="B252" s="161"/>
    </row>
    <row r="257" spans="1:8">
      <c r="A257" s="109"/>
      <c r="B257" s="85" t="s">
        <v>365</v>
      </c>
      <c r="D257" s="84"/>
      <c r="E257" s="84"/>
      <c r="F257" s="84"/>
      <c r="G257" s="85"/>
      <c r="H257" s="72"/>
    </row>
    <row r="259" spans="1:8">
      <c r="A259" s="30"/>
      <c r="B259" s="166" t="s">
        <v>379</v>
      </c>
      <c r="C259" s="34">
        <v>4635</v>
      </c>
      <c r="D259" s="34"/>
      <c r="E259" s="34"/>
      <c r="F259" s="34"/>
      <c r="G259" s="10"/>
      <c r="H259" s="3"/>
    </row>
  </sheetData>
  <mergeCells count="82">
    <mergeCell ref="A237:G237"/>
    <mergeCell ref="A99:G99"/>
    <mergeCell ref="A101:A102"/>
    <mergeCell ref="B101:B102"/>
    <mergeCell ref="C101:E102"/>
    <mergeCell ref="G101:G102"/>
    <mergeCell ref="A144:G144"/>
    <mergeCell ref="D91:E91"/>
    <mergeCell ref="D92:E92"/>
    <mergeCell ref="D93:E93"/>
    <mergeCell ref="D94:E94"/>
    <mergeCell ref="D95:E95"/>
    <mergeCell ref="D96:E96"/>
    <mergeCell ref="D97:E97"/>
    <mergeCell ref="A145:G145"/>
    <mergeCell ref="B154:C154"/>
    <mergeCell ref="D192:E192"/>
    <mergeCell ref="D71:E71"/>
    <mergeCell ref="D73:E73"/>
    <mergeCell ref="D74:E74"/>
    <mergeCell ref="D75:E75"/>
    <mergeCell ref="D78:E78"/>
    <mergeCell ref="D86:E86"/>
    <mergeCell ref="D87:E87"/>
    <mergeCell ref="D88:E88"/>
    <mergeCell ref="D89:E89"/>
    <mergeCell ref="D90:E90"/>
    <mergeCell ref="D61:E61"/>
    <mergeCell ref="D62:E62"/>
    <mergeCell ref="D63:E63"/>
    <mergeCell ref="D64:E64"/>
    <mergeCell ref="D65:E65"/>
    <mergeCell ref="D66:E66"/>
    <mergeCell ref="D67:E67"/>
    <mergeCell ref="D68:E68"/>
    <mergeCell ref="D69:E69"/>
    <mergeCell ref="D70:E70"/>
    <mergeCell ref="D50:E50"/>
    <mergeCell ref="D51:E51"/>
    <mergeCell ref="D52:E52"/>
    <mergeCell ref="D54:E54"/>
    <mergeCell ref="D55:E55"/>
    <mergeCell ref="D56:E56"/>
    <mergeCell ref="D57:E57"/>
    <mergeCell ref="D58:E58"/>
    <mergeCell ref="D59:E59"/>
    <mergeCell ref="D60:E60"/>
    <mergeCell ref="D39:E39"/>
    <mergeCell ref="A40:G40"/>
    <mergeCell ref="A41:G41"/>
    <mergeCell ref="D42:E42"/>
    <mergeCell ref="C43:E43"/>
    <mergeCell ref="D44:E44"/>
    <mergeCell ref="D45:E45"/>
    <mergeCell ref="D46:E46"/>
    <mergeCell ref="D48:E48"/>
    <mergeCell ref="D49:E49"/>
    <mergeCell ref="D28:E28"/>
    <mergeCell ref="D29:E29"/>
    <mergeCell ref="D31:E31"/>
    <mergeCell ref="D32:E32"/>
    <mergeCell ref="D33:E33"/>
    <mergeCell ref="D34:E34"/>
    <mergeCell ref="D35:E35"/>
    <mergeCell ref="D36:E36"/>
    <mergeCell ref="D37:E37"/>
    <mergeCell ref="D38:E38"/>
    <mergeCell ref="D18:E18"/>
    <mergeCell ref="D19:E19"/>
    <mergeCell ref="D20:E20"/>
    <mergeCell ref="D21:E21"/>
    <mergeCell ref="D22:E22"/>
    <mergeCell ref="A23:G23"/>
    <mergeCell ref="A24:G24"/>
    <mergeCell ref="D25:E25"/>
    <mergeCell ref="D26:E26"/>
    <mergeCell ref="D27:E27"/>
    <mergeCell ref="A5:A6"/>
    <mergeCell ref="A7:A8"/>
    <mergeCell ref="A13:A14"/>
    <mergeCell ref="A16:G16"/>
    <mergeCell ref="D17:E17"/>
  </mergeCells>
  <hyperlinks>
    <hyperlink ref="B9" r:id="rId1"/>
  </hyperlinks>
  <printOptions gridLines="1"/>
  <pageMargins left="0.25" right="0.25" top="0.75" bottom="0.75" header="0.3" footer="0.3"/>
  <pageSetup scale="75" orientation="landscape" r:id="rId2"/>
  <headerFooter differentFirst="1">
    <oddHeader>&amp;A&amp;RPage &amp;P</oddHeader>
  </headerFooter>
  <rowBreaks count="5" manualBreakCount="5">
    <brk id="39" max="6" man="1"/>
    <brk id="76" max="6" man="1"/>
    <brk id="114" max="6" man="1"/>
    <brk id="166" max="6" man="1"/>
    <brk id="208" max="6" man="1"/>
  </rowBreaks>
  <legacyDrawing r:id="rId3"/>
</worksheet>
</file>

<file path=xl/worksheets/sheet2.xml><?xml version="1.0" encoding="utf-8"?>
<worksheet xmlns="http://schemas.openxmlformats.org/spreadsheetml/2006/main" xmlns:r="http://schemas.openxmlformats.org/officeDocument/2006/relationships">
  <dimension ref="A1:J252"/>
  <sheetViews>
    <sheetView topLeftCell="A41" workbookViewId="0">
      <selection activeCell="C73" sqref="C73"/>
    </sheetView>
  </sheetViews>
  <sheetFormatPr defaultRowHeight="12.75"/>
  <cols>
    <col min="1" max="1" width="11.28515625" customWidth="1"/>
    <col min="2" max="2" width="60.28515625" customWidth="1"/>
    <col min="3" max="3" width="11.28515625" customWidth="1"/>
    <col min="4" max="4" width="10.7109375" customWidth="1"/>
    <col min="5" max="5" width="10.140625" customWidth="1"/>
    <col min="6" max="6" width="8.7109375" customWidth="1"/>
    <col min="7" max="7" width="12.140625" customWidth="1"/>
    <col min="8" max="8" width="9.140625" customWidth="1"/>
  </cols>
  <sheetData>
    <row r="1" spans="1:8" ht="18">
      <c r="A1" s="65"/>
      <c r="B1" s="66" t="s">
        <v>241</v>
      </c>
      <c r="C1" s="66"/>
      <c r="D1" s="162" t="s">
        <v>393</v>
      </c>
      <c r="E1" s="67"/>
      <c r="F1" s="67"/>
      <c r="G1" s="66"/>
      <c r="H1" s="172"/>
    </row>
    <row r="2" spans="1:8">
      <c r="A2" s="69"/>
      <c r="B2" s="172"/>
      <c r="C2" s="69"/>
      <c r="D2" s="69"/>
      <c r="E2" s="69"/>
      <c r="F2" s="69"/>
      <c r="G2" s="172"/>
      <c r="H2" s="172"/>
    </row>
    <row r="3" spans="1:8" ht="15.75">
      <c r="A3" s="70" t="s">
        <v>161</v>
      </c>
      <c r="B3" s="194" t="s">
        <v>394</v>
      </c>
      <c r="C3" s="72"/>
      <c r="D3" s="73" t="s">
        <v>185</v>
      </c>
      <c r="E3" s="72"/>
      <c r="F3" s="72"/>
      <c r="G3" s="172"/>
      <c r="H3" s="172"/>
    </row>
    <row r="4" spans="1:8">
      <c r="A4" s="69"/>
      <c r="B4" s="172"/>
      <c r="C4" s="69"/>
      <c r="D4" s="69"/>
      <c r="E4" s="69"/>
      <c r="F4" s="69"/>
      <c r="G4" s="172"/>
      <c r="H4" s="172"/>
    </row>
    <row r="5" spans="1:8" ht="12.75" customHeight="1">
      <c r="A5" s="1231" t="s">
        <v>189</v>
      </c>
      <c r="B5" s="71" t="s">
        <v>395</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71" t="s">
        <v>396</v>
      </c>
      <c r="C7" s="72"/>
      <c r="D7" s="72"/>
      <c r="E7" s="72"/>
      <c r="F7" s="72"/>
      <c r="G7" s="172"/>
      <c r="H7" s="172"/>
    </row>
    <row r="8" spans="1:8">
      <c r="A8" s="1231"/>
      <c r="B8" s="172"/>
      <c r="C8" s="72"/>
      <c r="D8" s="75" t="s">
        <v>188</v>
      </c>
      <c r="E8" s="69"/>
      <c r="F8" s="69"/>
      <c r="G8" s="172"/>
      <c r="H8" s="172"/>
    </row>
    <row r="9" spans="1:8">
      <c r="A9" s="76" t="s">
        <v>190</v>
      </c>
      <c r="B9" s="173" t="s">
        <v>397</v>
      </c>
      <c r="C9" s="72"/>
      <c r="D9" s="69"/>
      <c r="E9" s="69"/>
      <c r="F9" s="69"/>
      <c r="G9" s="172"/>
      <c r="H9" s="172"/>
    </row>
    <row r="10" spans="1:8">
      <c r="A10" s="67"/>
      <c r="B10" s="172"/>
      <c r="C10" s="69"/>
      <c r="D10" s="77" t="s">
        <v>242</v>
      </c>
      <c r="E10" s="69"/>
      <c r="F10" s="78"/>
      <c r="G10" s="172"/>
      <c r="H10" s="172"/>
    </row>
    <row r="11" spans="1:8">
      <c r="A11" s="79" t="s">
        <v>162</v>
      </c>
      <c r="B11" s="71" t="s">
        <v>398</v>
      </c>
      <c r="C11" s="72"/>
      <c r="D11" s="69"/>
      <c r="E11" s="69"/>
      <c r="F11" s="69"/>
      <c r="G11" s="172"/>
      <c r="H11" s="172"/>
    </row>
    <row r="12" spans="1:8">
      <c r="A12" s="69"/>
      <c r="B12" s="172"/>
      <c r="C12" s="69"/>
      <c r="D12" s="67"/>
      <c r="E12" s="69"/>
      <c r="F12" s="69"/>
      <c r="G12" s="172"/>
      <c r="H12" s="172"/>
    </row>
    <row r="13" spans="1:8">
      <c r="A13" s="1232" t="s">
        <v>163</v>
      </c>
      <c r="B13" s="71" t="s">
        <v>399</v>
      </c>
      <c r="C13" s="72"/>
      <c r="D13" s="72"/>
      <c r="E13" s="69"/>
      <c r="F13" s="69"/>
      <c r="G13" s="172"/>
      <c r="H13" s="172"/>
    </row>
    <row r="14" spans="1:8">
      <c r="A14" s="1232"/>
      <c r="B14" s="172"/>
      <c r="C14" s="172"/>
      <c r="D14" s="172"/>
      <c r="E14" s="172"/>
      <c r="F14" s="172"/>
      <c r="G14" s="172"/>
      <c r="H14" s="172"/>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v>1</v>
      </c>
      <c r="D18" s="1218"/>
      <c r="E18" s="1218"/>
      <c r="F18" s="84"/>
      <c r="G18" s="85"/>
      <c r="H18" s="72"/>
    </row>
    <row r="19" spans="1:8" ht="25.5">
      <c r="A19" s="11" t="s">
        <v>111</v>
      </c>
      <c r="B19" s="86" t="s">
        <v>228</v>
      </c>
      <c r="C19" s="8">
        <v>4</v>
      </c>
      <c r="D19" s="1218"/>
      <c r="E19" s="1218"/>
      <c r="F19" s="84"/>
      <c r="G19" s="85"/>
      <c r="H19" s="72"/>
    </row>
    <row r="20" spans="1:8" ht="25.5">
      <c r="A20" s="11" t="s">
        <v>112</v>
      </c>
      <c r="B20" s="86" t="s">
        <v>229</v>
      </c>
      <c r="C20" s="8">
        <v>39</v>
      </c>
      <c r="D20" s="1218"/>
      <c r="E20" s="1218"/>
      <c r="F20" s="84"/>
      <c r="G20" s="85"/>
      <c r="H20" s="72"/>
    </row>
    <row r="21" spans="1:8" ht="25.5">
      <c r="A21" s="11" t="s">
        <v>113</v>
      </c>
      <c r="B21" s="87" t="s">
        <v>230</v>
      </c>
      <c r="C21" s="8">
        <v>2</v>
      </c>
      <c r="D21" s="1218"/>
      <c r="E21" s="1218"/>
      <c r="F21" s="84"/>
      <c r="G21" s="85"/>
      <c r="H21" s="72"/>
    </row>
    <row r="22" spans="1:8" ht="25.5">
      <c r="A22" s="11" t="s">
        <v>114</v>
      </c>
      <c r="B22" s="87" t="s">
        <v>231</v>
      </c>
      <c r="C22" s="14">
        <v>2</v>
      </c>
      <c r="D22" s="1218"/>
      <c r="E22" s="1218"/>
      <c r="F22" s="84"/>
      <c r="G22" s="85"/>
      <c r="H22" s="72"/>
    </row>
    <row r="23" spans="1:8">
      <c r="A23" s="1222"/>
      <c r="B23" s="1223"/>
      <c r="C23" s="1224"/>
      <c r="D23" s="1224"/>
      <c r="E23" s="1224"/>
      <c r="F23" s="1224"/>
      <c r="G23" s="1225"/>
      <c r="H23" s="80"/>
    </row>
    <row r="24" spans="1:8" ht="13.5">
      <c r="A24" s="1226" t="s">
        <v>360</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10.82</v>
      </c>
      <c r="D26" s="1218"/>
      <c r="E26" s="1218"/>
      <c r="F26" s="84"/>
      <c r="G26" s="85"/>
      <c r="H26" s="72"/>
    </row>
    <row r="27" spans="1:8">
      <c r="A27" s="8" t="s">
        <v>3</v>
      </c>
      <c r="B27" s="12" t="s">
        <v>4</v>
      </c>
      <c r="C27" s="15">
        <f>0.57+0.25+7</f>
        <v>7.82</v>
      </c>
      <c r="D27" s="1218"/>
      <c r="E27" s="1218"/>
      <c r="F27" s="84"/>
      <c r="G27" s="85"/>
      <c r="H27" s="72"/>
    </row>
    <row r="28" spans="1:8">
      <c r="A28" s="11" t="s">
        <v>5</v>
      </c>
      <c r="B28" s="12" t="s">
        <v>144</v>
      </c>
      <c r="C28" s="15">
        <v>0</v>
      </c>
      <c r="D28" s="1218"/>
      <c r="E28" s="1218"/>
      <c r="F28" s="84"/>
      <c r="G28" s="85"/>
      <c r="H28" s="72"/>
    </row>
    <row r="29" spans="1:8">
      <c r="A29" s="8" t="s">
        <v>145</v>
      </c>
      <c r="B29" s="12" t="s">
        <v>146</v>
      </c>
      <c r="C29" s="15">
        <v>3</v>
      </c>
      <c r="D29" s="1220"/>
      <c r="E29" s="1229"/>
      <c r="F29" s="174"/>
      <c r="G29" s="85"/>
      <c r="H29" s="72"/>
    </row>
    <row r="30" spans="1:8">
      <c r="A30" s="8" t="s">
        <v>244</v>
      </c>
      <c r="B30" s="12" t="s">
        <v>245</v>
      </c>
      <c r="C30" s="15">
        <v>0</v>
      </c>
      <c r="D30" s="88"/>
      <c r="E30" s="174"/>
      <c r="F30" s="174"/>
      <c r="G30" s="85"/>
      <c r="H30" s="72"/>
    </row>
    <row r="31" spans="1:8">
      <c r="A31" s="5">
        <v>3</v>
      </c>
      <c r="B31" s="7" t="s">
        <v>14</v>
      </c>
      <c r="C31" s="50">
        <f>SUM(C32:C34)</f>
        <v>12</v>
      </c>
      <c r="D31" s="1218"/>
      <c r="E31" s="1218"/>
      <c r="F31" s="84"/>
      <c r="G31" s="85"/>
      <c r="H31" s="72"/>
    </row>
    <row r="32" spans="1:8">
      <c r="A32" s="8" t="s">
        <v>6</v>
      </c>
      <c r="B32" s="12" t="s">
        <v>7</v>
      </c>
      <c r="C32" s="15">
        <v>10</v>
      </c>
      <c r="D32" s="1218"/>
      <c r="E32" s="1218"/>
      <c r="F32" s="84"/>
      <c r="G32" s="85"/>
      <c r="H32" s="72"/>
    </row>
    <row r="33" spans="1:8">
      <c r="A33" s="11" t="s">
        <v>12</v>
      </c>
      <c r="B33" s="12" t="s">
        <v>15</v>
      </c>
      <c r="C33" s="15">
        <v>1</v>
      </c>
      <c r="D33" s="1218"/>
      <c r="E33" s="1218"/>
      <c r="F33" s="84"/>
      <c r="G33" s="85"/>
      <c r="H33" s="72"/>
    </row>
    <row r="34" spans="1:8">
      <c r="A34" s="11" t="s">
        <v>13</v>
      </c>
      <c r="B34" s="12" t="s">
        <v>148</v>
      </c>
      <c r="C34" s="15">
        <v>1</v>
      </c>
      <c r="D34" s="1218"/>
      <c r="E34" s="1218"/>
      <c r="F34" s="84"/>
      <c r="G34" s="85"/>
      <c r="H34" s="72"/>
    </row>
    <row r="35" spans="1:8">
      <c r="A35" s="5">
        <v>4</v>
      </c>
      <c r="B35" s="16" t="s">
        <v>17</v>
      </c>
      <c r="C35" s="15">
        <v>0</v>
      </c>
      <c r="D35" s="1218"/>
      <c r="E35" s="1218"/>
      <c r="F35" s="84"/>
      <c r="G35" s="85"/>
      <c r="H35" s="72"/>
    </row>
    <row r="36" spans="1:8">
      <c r="A36" s="11" t="s">
        <v>16</v>
      </c>
      <c r="B36" s="12" t="s">
        <v>84</v>
      </c>
      <c r="C36" s="15">
        <v>0</v>
      </c>
      <c r="D36" s="1218"/>
      <c r="E36" s="1218"/>
      <c r="F36" s="84"/>
      <c r="G36" s="85"/>
      <c r="H36" s="72"/>
    </row>
    <row r="37" spans="1:8" ht="25.5">
      <c r="A37" s="5">
        <v>5</v>
      </c>
      <c r="B37" s="90" t="s">
        <v>26</v>
      </c>
      <c r="C37" s="15">
        <v>2.59</v>
      </c>
      <c r="D37" s="1218"/>
      <c r="E37" s="1218"/>
      <c r="F37" s="84"/>
      <c r="G37" s="85"/>
      <c r="H37" s="72"/>
    </row>
    <row r="38" spans="1:8">
      <c r="A38" s="17" t="s">
        <v>147</v>
      </c>
      <c r="B38" s="16" t="s">
        <v>150</v>
      </c>
      <c r="C38" s="15">
        <v>0.48</v>
      </c>
      <c r="D38" s="1219"/>
      <c r="E38" s="1219"/>
      <c r="F38" s="81"/>
      <c r="G38" s="85"/>
      <c r="H38" s="72"/>
    </row>
    <row r="39" spans="1:8">
      <c r="A39" s="5">
        <v>6</v>
      </c>
      <c r="B39" s="7" t="s">
        <v>85</v>
      </c>
      <c r="C39" s="50">
        <f>SUM(C26+C31+C35+C37)</f>
        <v>25.41</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93">
        <f>SUM(C45:C47)</f>
        <v>724632</v>
      </c>
      <c r="D44" s="1218"/>
      <c r="E44" s="1218"/>
      <c r="F44" s="84"/>
      <c r="G44" s="85"/>
      <c r="H44" s="72"/>
    </row>
    <row r="45" spans="1:8">
      <c r="A45" s="8" t="s">
        <v>11</v>
      </c>
      <c r="B45" s="12" t="s">
        <v>19</v>
      </c>
      <c r="C45" s="55">
        <v>491232</v>
      </c>
      <c r="D45" s="1218"/>
      <c r="E45" s="1218"/>
      <c r="F45" s="84"/>
      <c r="G45" s="85"/>
      <c r="H45" s="72"/>
    </row>
    <row r="46" spans="1:8">
      <c r="A46" s="11" t="s">
        <v>18</v>
      </c>
      <c r="B46" s="12" t="s">
        <v>151</v>
      </c>
      <c r="C46" s="55">
        <v>233400</v>
      </c>
      <c r="D46" s="1218"/>
      <c r="E46" s="1218"/>
      <c r="F46" s="84"/>
      <c r="G46" s="85"/>
      <c r="H46" s="72"/>
    </row>
    <row r="47" spans="1:8">
      <c r="A47" s="8" t="s">
        <v>247</v>
      </c>
      <c r="B47" s="12" t="s">
        <v>248</v>
      </c>
      <c r="C47" s="59">
        <v>0</v>
      </c>
      <c r="D47" s="84"/>
      <c r="E47" s="84"/>
      <c r="F47" s="84"/>
      <c r="G47" s="85"/>
      <c r="H47" s="72"/>
    </row>
    <row r="48" spans="1:8">
      <c r="A48" s="5">
        <v>8</v>
      </c>
      <c r="B48" s="7" t="s">
        <v>109</v>
      </c>
      <c r="C48" s="93">
        <f>SUM(C49:C51)</f>
        <v>512149</v>
      </c>
      <c r="D48" s="1218"/>
      <c r="E48" s="1218"/>
      <c r="F48" s="84"/>
      <c r="G48" s="85"/>
      <c r="H48" s="72"/>
    </row>
    <row r="49" spans="1:8">
      <c r="A49" s="19" t="s">
        <v>20</v>
      </c>
      <c r="B49" s="20" t="s">
        <v>23</v>
      </c>
      <c r="C49" s="55">
        <v>400634</v>
      </c>
      <c r="D49" s="1218"/>
      <c r="E49" s="1218"/>
      <c r="F49" s="84"/>
      <c r="G49" s="85"/>
      <c r="H49" s="72"/>
    </row>
    <row r="50" spans="1:8">
      <c r="A50" s="11" t="s">
        <v>21</v>
      </c>
      <c r="B50" s="12" t="s">
        <v>24</v>
      </c>
      <c r="C50" s="55">
        <v>41630</v>
      </c>
      <c r="D50" s="1218"/>
      <c r="E50" s="1218"/>
      <c r="F50" s="84"/>
      <c r="G50" s="85"/>
      <c r="H50" s="72"/>
    </row>
    <row r="51" spans="1:8">
      <c r="A51" s="11" t="s">
        <v>22</v>
      </c>
      <c r="B51" s="12" t="s">
        <v>25</v>
      </c>
      <c r="C51" s="55">
        <v>69885</v>
      </c>
      <c r="D51" s="1218"/>
      <c r="E51" s="1218"/>
      <c r="F51" s="84"/>
      <c r="G51" s="85"/>
      <c r="H51" s="72"/>
    </row>
    <row r="52" spans="1:8" ht="25.5">
      <c r="A52" s="21">
        <v>9</v>
      </c>
      <c r="B52" s="22" t="s">
        <v>27</v>
      </c>
      <c r="C52" s="56">
        <v>43162</v>
      </c>
      <c r="D52" s="1218"/>
      <c r="E52" s="1218"/>
      <c r="F52" s="84"/>
      <c r="G52" s="85"/>
      <c r="H52" s="72"/>
    </row>
    <row r="53" spans="1:8">
      <c r="A53" s="21">
        <v>10</v>
      </c>
      <c r="B53" s="22" t="s">
        <v>249</v>
      </c>
      <c r="C53" s="56">
        <f>SUM(C44+C48+C52)</f>
        <v>1279943</v>
      </c>
      <c r="D53" s="88"/>
      <c r="E53" s="94"/>
      <c r="F53" s="94"/>
      <c r="G53" s="85"/>
      <c r="H53" s="72"/>
    </row>
    <row r="54" spans="1:8">
      <c r="A54" s="21"/>
      <c r="B54" s="22"/>
      <c r="C54" s="55"/>
      <c r="D54" s="1220"/>
      <c r="E54" s="1221"/>
      <c r="F54" s="94"/>
      <c r="G54" s="85"/>
      <c r="H54" s="72"/>
    </row>
    <row r="55" spans="1:8">
      <c r="A55" s="95"/>
      <c r="B55" s="92" t="s">
        <v>250</v>
      </c>
      <c r="C55" s="96"/>
      <c r="D55" s="1219"/>
      <c r="E55" s="1218"/>
      <c r="F55" s="84"/>
      <c r="G55" s="85"/>
      <c r="H55" s="72"/>
    </row>
    <row r="56" spans="1:8" ht="25.5">
      <c r="A56" s="97">
        <v>11</v>
      </c>
      <c r="B56" s="98" t="s">
        <v>251</v>
      </c>
      <c r="C56" s="99">
        <f>SUM(C57:C59)</f>
        <v>69231</v>
      </c>
      <c r="D56" s="1218"/>
      <c r="E56" s="1218"/>
      <c r="F56" s="84"/>
      <c r="G56" s="85"/>
      <c r="H56" s="72"/>
    </row>
    <row r="57" spans="1:8">
      <c r="A57" s="100" t="s">
        <v>30</v>
      </c>
      <c r="B57" s="101" t="s">
        <v>28</v>
      </c>
      <c r="C57" s="55">
        <v>69231</v>
      </c>
      <c r="D57" s="1218"/>
      <c r="E57" s="1218"/>
      <c r="F57" s="84"/>
      <c r="G57" s="85"/>
      <c r="H57" s="72"/>
    </row>
    <row r="58" spans="1:8">
      <c r="A58" s="100" t="s">
        <v>32</v>
      </c>
      <c r="B58" s="101" t="s">
        <v>363</v>
      </c>
      <c r="C58" s="55">
        <v>0</v>
      </c>
      <c r="D58" s="1218"/>
      <c r="E58" s="1218"/>
      <c r="F58" s="84"/>
      <c r="G58" s="85"/>
      <c r="H58" s="72"/>
    </row>
    <row r="59" spans="1:8">
      <c r="A59" s="100" t="s">
        <v>34</v>
      </c>
      <c r="B59" s="101" t="s">
        <v>29</v>
      </c>
      <c r="C59" s="55">
        <v>0</v>
      </c>
      <c r="D59" s="1218"/>
      <c r="E59" s="1218"/>
      <c r="F59" s="84"/>
      <c r="G59" s="85"/>
      <c r="H59" s="72"/>
    </row>
    <row r="60" spans="1:8" ht="38.25">
      <c r="A60" s="97">
        <v>12</v>
      </c>
      <c r="B60" s="98" t="s">
        <v>252</v>
      </c>
      <c r="C60" s="57">
        <f>SUM(C61+C62+C64+C65+C66)</f>
        <v>247690</v>
      </c>
      <c r="D60" s="1218"/>
      <c r="E60" s="1218"/>
      <c r="F60" s="84"/>
      <c r="G60" s="85"/>
      <c r="H60" s="72"/>
    </row>
    <row r="61" spans="1:8">
      <c r="A61" s="100" t="s">
        <v>36</v>
      </c>
      <c r="B61" s="101" t="s">
        <v>31</v>
      </c>
      <c r="C61" s="55">
        <v>36247</v>
      </c>
      <c r="D61" s="1218"/>
      <c r="E61" s="1218"/>
      <c r="F61" s="84"/>
      <c r="G61" s="85"/>
      <c r="H61" s="72"/>
    </row>
    <row r="62" spans="1:8">
      <c r="A62" s="100" t="s">
        <v>38</v>
      </c>
      <c r="B62" s="101" t="s">
        <v>206</v>
      </c>
      <c r="C62" s="55">
        <v>207824</v>
      </c>
      <c r="D62" s="1218"/>
      <c r="E62" s="1218"/>
      <c r="F62" s="84"/>
      <c r="G62" s="85"/>
      <c r="H62" s="72"/>
    </row>
    <row r="63" spans="1:8">
      <c r="A63" s="100" t="s">
        <v>253</v>
      </c>
      <c r="B63" s="101" t="s">
        <v>33</v>
      </c>
      <c r="C63" s="55">
        <v>51983</v>
      </c>
      <c r="D63" s="1218"/>
      <c r="E63" s="1218"/>
      <c r="F63" s="84"/>
      <c r="G63" s="85"/>
      <c r="H63" s="72"/>
    </row>
    <row r="64" spans="1:8">
      <c r="A64" s="100" t="s">
        <v>39</v>
      </c>
      <c r="B64" s="101" t="s">
        <v>35</v>
      </c>
      <c r="C64" s="55">
        <v>154</v>
      </c>
      <c r="D64" s="1218"/>
      <c r="E64" s="1218"/>
      <c r="F64" s="84"/>
      <c r="G64" s="85"/>
      <c r="H64" s="72"/>
    </row>
    <row r="65" spans="1:8">
      <c r="A65" s="102" t="s">
        <v>254</v>
      </c>
      <c r="B65" s="101" t="s">
        <v>153</v>
      </c>
      <c r="C65" s="55">
        <v>3465</v>
      </c>
      <c r="D65" s="1218"/>
      <c r="E65" s="1218"/>
      <c r="F65" s="84"/>
      <c r="G65" s="85"/>
      <c r="H65" s="72"/>
    </row>
    <row r="66" spans="1:8">
      <c r="A66" s="102" t="s">
        <v>255</v>
      </c>
      <c r="B66" s="103" t="s">
        <v>216</v>
      </c>
      <c r="C66" s="55">
        <v>0</v>
      </c>
      <c r="D66" s="1218"/>
      <c r="E66" s="1218"/>
      <c r="F66" s="84"/>
      <c r="G66" s="85"/>
      <c r="H66" s="72"/>
    </row>
    <row r="67" spans="1:8">
      <c r="A67" s="97">
        <v>13</v>
      </c>
      <c r="B67" s="104" t="s">
        <v>256</v>
      </c>
      <c r="C67" s="57">
        <f>SUM(C68:C69)</f>
        <v>349</v>
      </c>
      <c r="D67" s="1218"/>
      <c r="E67" s="1218"/>
      <c r="F67" s="84"/>
      <c r="G67" s="85"/>
      <c r="H67" s="72"/>
    </row>
    <row r="68" spans="1:8">
      <c r="A68" s="100" t="s">
        <v>156</v>
      </c>
      <c r="B68" s="103" t="s">
        <v>40</v>
      </c>
      <c r="C68" s="55">
        <v>0</v>
      </c>
      <c r="D68" s="1218"/>
      <c r="E68" s="1218"/>
      <c r="F68" s="84"/>
      <c r="G68" s="85"/>
      <c r="H68" s="72"/>
    </row>
    <row r="69" spans="1:8">
      <c r="A69" s="100" t="s">
        <v>157</v>
      </c>
      <c r="B69" s="103" t="s">
        <v>41</v>
      </c>
      <c r="C69" s="55">
        <v>349</v>
      </c>
      <c r="D69" s="1218"/>
      <c r="E69" s="1218"/>
      <c r="F69" s="84"/>
      <c r="G69" s="85"/>
      <c r="H69" s="72"/>
    </row>
    <row r="70" spans="1:8" s="175" customFormat="1">
      <c r="A70" s="95">
        <v>14</v>
      </c>
      <c r="B70" s="82" t="s">
        <v>257</v>
      </c>
      <c r="C70" s="57">
        <v>0</v>
      </c>
      <c r="D70" s="1218"/>
      <c r="E70" s="1218"/>
      <c r="F70" s="84"/>
      <c r="G70" s="85"/>
      <c r="H70" s="72"/>
    </row>
    <row r="71" spans="1:8" s="175" customFormat="1">
      <c r="A71" s="105" t="s">
        <v>42</v>
      </c>
      <c r="B71" s="106" t="s">
        <v>155</v>
      </c>
      <c r="C71" s="55">
        <v>0</v>
      </c>
      <c r="D71" s="1219"/>
      <c r="E71" s="1219"/>
      <c r="F71" s="81"/>
      <c r="G71" s="85"/>
      <c r="H71" s="72"/>
    </row>
    <row r="72" spans="1:8" s="175" customFormat="1">
      <c r="A72" s="105" t="s">
        <v>43</v>
      </c>
      <c r="B72" s="107" t="s">
        <v>258</v>
      </c>
      <c r="C72" s="55">
        <v>0</v>
      </c>
      <c r="D72" s="81"/>
      <c r="E72" s="81"/>
      <c r="F72" s="81"/>
      <c r="G72" s="85"/>
      <c r="H72" s="72"/>
    </row>
    <row r="73" spans="1:8" s="175" customFormat="1">
      <c r="A73" s="105" t="s">
        <v>45</v>
      </c>
      <c r="B73" s="108" t="s">
        <v>44</v>
      </c>
      <c r="C73" s="55">
        <v>0</v>
      </c>
      <c r="D73" s="1218"/>
      <c r="E73" s="1218"/>
      <c r="F73" s="84"/>
      <c r="G73" s="85"/>
      <c r="H73" s="72"/>
    </row>
    <row r="74" spans="1:8" s="175" customFormat="1">
      <c r="A74" s="105" t="s">
        <v>154</v>
      </c>
      <c r="B74" s="108" t="s">
        <v>46</v>
      </c>
      <c r="C74" s="55">
        <v>0</v>
      </c>
      <c r="D74" s="1218"/>
      <c r="E74" s="1218"/>
      <c r="F74" s="84"/>
      <c r="G74" s="85"/>
      <c r="H74" s="72"/>
    </row>
    <row r="75" spans="1:8" s="175" customFormat="1">
      <c r="A75" s="109" t="s">
        <v>259</v>
      </c>
      <c r="B75" s="108" t="s">
        <v>104</v>
      </c>
      <c r="C75" s="55">
        <v>0</v>
      </c>
      <c r="D75" s="1218"/>
      <c r="E75" s="1218"/>
      <c r="F75" s="84"/>
      <c r="G75" s="85"/>
      <c r="H75" s="72"/>
    </row>
    <row r="76" spans="1:8">
      <c r="A76" s="110">
        <v>15</v>
      </c>
      <c r="B76" s="82" t="s">
        <v>260</v>
      </c>
      <c r="C76" s="58">
        <f>SUM(C56+C60+C67+C70)</f>
        <v>317270</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s="175" customFormat="1">
      <c r="A80" s="95">
        <v>16</v>
      </c>
      <c r="B80" s="112" t="s">
        <v>262</v>
      </c>
      <c r="C80" s="59">
        <v>8110</v>
      </c>
      <c r="D80" s="84"/>
      <c r="E80" s="84"/>
      <c r="F80" s="84"/>
      <c r="G80" s="85"/>
      <c r="H80" s="72"/>
    </row>
    <row r="81" spans="1:8" s="175" customFormat="1">
      <c r="A81" s="109" t="s">
        <v>263</v>
      </c>
      <c r="B81" s="85" t="s">
        <v>264</v>
      </c>
      <c r="C81" s="55">
        <v>0</v>
      </c>
      <c r="D81" s="84"/>
      <c r="E81" s="84"/>
      <c r="F81" s="84"/>
      <c r="G81" s="85"/>
      <c r="H81" s="72"/>
    </row>
    <row r="82" spans="1:8" s="175" customFormat="1" ht="25.5">
      <c r="A82" s="109" t="s">
        <v>192</v>
      </c>
      <c r="B82" s="113" t="s">
        <v>207</v>
      </c>
      <c r="C82" s="55">
        <v>4426</v>
      </c>
      <c r="D82" s="84"/>
      <c r="E82" s="84"/>
      <c r="F82" s="84"/>
      <c r="G82" s="85"/>
      <c r="H82" s="72"/>
    </row>
    <row r="83" spans="1:8" s="175" customFormat="1">
      <c r="A83" s="109" t="s">
        <v>193</v>
      </c>
      <c r="B83" s="85" t="s">
        <v>158</v>
      </c>
      <c r="C83" s="55">
        <v>137</v>
      </c>
      <c r="D83" s="84"/>
      <c r="E83" s="84"/>
      <c r="F83" s="84"/>
      <c r="G83" s="85"/>
      <c r="H83" s="72"/>
    </row>
    <row r="84" spans="1:8" s="175" customFormat="1">
      <c r="A84" s="109" t="s">
        <v>265</v>
      </c>
      <c r="B84" s="85" t="s">
        <v>159</v>
      </c>
      <c r="C84" s="55">
        <v>100</v>
      </c>
      <c r="D84" s="84"/>
      <c r="E84" s="84"/>
      <c r="F84" s="84"/>
      <c r="G84" s="85"/>
      <c r="H84" s="72"/>
    </row>
    <row r="85" spans="1:8" s="175" customFormat="1">
      <c r="A85" s="109" t="s">
        <v>266</v>
      </c>
      <c r="B85" s="85" t="s">
        <v>160</v>
      </c>
      <c r="C85" s="55">
        <v>3447</v>
      </c>
      <c r="D85" s="84"/>
      <c r="E85" s="84"/>
      <c r="F85" s="84"/>
      <c r="G85" s="85"/>
      <c r="H85" s="72"/>
    </row>
    <row r="86" spans="1:8" s="175" customFormat="1">
      <c r="A86" s="110">
        <v>17</v>
      </c>
      <c r="B86" s="111" t="s">
        <v>191</v>
      </c>
      <c r="C86" s="59" t="s">
        <v>400</v>
      </c>
      <c r="D86" s="1218"/>
      <c r="E86" s="1218"/>
      <c r="F86" s="84"/>
      <c r="G86" s="82"/>
      <c r="H86" s="72"/>
    </row>
    <row r="87" spans="1:8">
      <c r="A87" s="110">
        <v>18</v>
      </c>
      <c r="B87" s="82" t="s">
        <v>267</v>
      </c>
      <c r="C87" s="57">
        <f>SUM(C88:C90)</f>
        <v>2000</v>
      </c>
      <c r="D87" s="1218"/>
      <c r="E87" s="1218"/>
      <c r="F87" s="84"/>
      <c r="G87" s="85"/>
      <c r="H87" s="72"/>
    </row>
    <row r="88" spans="1:8" s="175" customFormat="1">
      <c r="A88" s="105" t="s">
        <v>268</v>
      </c>
      <c r="B88" s="114" t="s">
        <v>47</v>
      </c>
      <c r="C88" s="55">
        <v>0</v>
      </c>
      <c r="D88" s="1218"/>
      <c r="E88" s="1218"/>
      <c r="F88" s="84"/>
      <c r="G88" s="85"/>
      <c r="H88" s="72"/>
    </row>
    <row r="89" spans="1:8">
      <c r="A89" s="105" t="s">
        <v>269</v>
      </c>
      <c r="B89" s="114" t="s">
        <v>48</v>
      </c>
      <c r="C89" s="55">
        <v>2000</v>
      </c>
      <c r="D89" s="1218"/>
      <c r="E89" s="1218"/>
      <c r="F89" s="84"/>
      <c r="G89" s="85"/>
      <c r="H89" s="72"/>
    </row>
    <row r="90" spans="1:8" s="175" customFormat="1">
      <c r="A90" s="105" t="s">
        <v>270</v>
      </c>
      <c r="B90" s="114" t="s">
        <v>105</v>
      </c>
      <c r="C90" s="96">
        <v>0</v>
      </c>
      <c r="D90" s="1218"/>
      <c r="E90" s="1218"/>
      <c r="F90" s="84"/>
      <c r="G90" s="85"/>
      <c r="H90" s="72"/>
    </row>
    <row r="91" spans="1:8">
      <c r="A91" s="110">
        <v>19</v>
      </c>
      <c r="B91" s="85" t="s">
        <v>205</v>
      </c>
      <c r="C91" s="96">
        <f>52921+3104</f>
        <v>56025</v>
      </c>
      <c r="D91" s="1218"/>
      <c r="E91" s="1218"/>
      <c r="F91" s="84"/>
      <c r="G91" s="85"/>
      <c r="H91" s="72"/>
    </row>
    <row r="92" spans="1:8" ht="38.25">
      <c r="A92" s="110">
        <v>20</v>
      </c>
      <c r="B92" s="113" t="s">
        <v>106</v>
      </c>
      <c r="C92" s="96">
        <f>3665.39+38234.31+1208.14+52.29</f>
        <v>43160.13</v>
      </c>
      <c r="D92" s="1218"/>
      <c r="E92" s="1218"/>
      <c r="F92" s="84"/>
      <c r="G92" s="85"/>
      <c r="H92" s="72"/>
    </row>
    <row r="93" spans="1:8">
      <c r="A93" s="110">
        <v>21</v>
      </c>
      <c r="B93" s="85" t="s">
        <v>103</v>
      </c>
      <c r="C93" s="96">
        <v>38420</v>
      </c>
      <c r="D93" s="1218"/>
      <c r="E93" s="1218"/>
      <c r="F93" s="84"/>
      <c r="G93" s="85"/>
      <c r="H93" s="72"/>
    </row>
    <row r="94" spans="1:8" ht="25.5">
      <c r="A94" s="110">
        <v>22</v>
      </c>
      <c r="B94" s="113" t="s">
        <v>107</v>
      </c>
      <c r="C94" s="115">
        <f>290743+167-56025-23</f>
        <v>234862</v>
      </c>
      <c r="D94" s="1218" t="s">
        <v>401</v>
      </c>
      <c r="E94" s="1218"/>
      <c r="F94" s="116"/>
      <c r="G94" s="117"/>
      <c r="H94" s="80"/>
    </row>
    <row r="95" spans="1:8" ht="25.5">
      <c r="A95" s="110">
        <v>23</v>
      </c>
      <c r="B95" s="113" t="s">
        <v>271</v>
      </c>
      <c r="C95" s="118">
        <f>SUM(C53,C76,C80,C86,C87,C91,C92,C93,C94)</f>
        <v>1979790.13</v>
      </c>
      <c r="D95" s="1218"/>
      <c r="E95" s="1218"/>
      <c r="F95" s="84"/>
      <c r="G95" s="85"/>
      <c r="H95" s="72"/>
    </row>
    <row r="96" spans="1:8">
      <c r="A96" s="109" t="s">
        <v>108</v>
      </c>
      <c r="B96" s="114" t="s">
        <v>49</v>
      </c>
      <c r="C96" s="96">
        <v>565554</v>
      </c>
      <c r="D96" s="1218"/>
      <c r="E96" s="1218"/>
      <c r="F96" s="84"/>
      <c r="G96" s="85"/>
      <c r="H96" s="72"/>
    </row>
    <row r="97" spans="1:8" ht="15">
      <c r="A97" s="110">
        <v>24</v>
      </c>
      <c r="B97" s="85" t="s">
        <v>272</v>
      </c>
      <c r="C97" s="119">
        <f>SUM(C95,C96)</f>
        <v>2545344.13</v>
      </c>
      <c r="D97" s="1217"/>
      <c r="E97" s="1218"/>
      <c r="F97" s="84"/>
      <c r="G97" s="176"/>
      <c r="H97" s="72"/>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5549</v>
      </c>
      <c r="D103" s="51">
        <f>SUM(D104,D107:D110)</f>
        <v>749</v>
      </c>
      <c r="E103" s="51">
        <f>SUM(E104,E107:E110)</f>
        <v>480640</v>
      </c>
      <c r="F103" s="34"/>
      <c r="G103" s="10"/>
      <c r="H103" s="3"/>
    </row>
    <row r="104" spans="1:8">
      <c r="A104" s="25" t="s">
        <v>91</v>
      </c>
      <c r="B104" s="13" t="s">
        <v>53</v>
      </c>
      <c r="C104" s="51">
        <f>SUM(C105:C106)</f>
        <v>2860</v>
      </c>
      <c r="D104" s="51">
        <v>469</v>
      </c>
      <c r="E104" s="51">
        <v>342634</v>
      </c>
      <c r="F104" s="34"/>
      <c r="G104" s="10"/>
      <c r="H104" s="3"/>
    </row>
    <row r="105" spans="1:8">
      <c r="A105" s="25" t="s">
        <v>194</v>
      </c>
      <c r="B105" s="35" t="s">
        <v>54</v>
      </c>
      <c r="C105" s="34">
        <v>2051</v>
      </c>
      <c r="D105" s="25">
        <v>0</v>
      </c>
      <c r="E105" s="34" t="s">
        <v>201</v>
      </c>
      <c r="F105" s="34"/>
      <c r="G105" s="10"/>
      <c r="H105" s="3"/>
    </row>
    <row r="106" spans="1:8">
      <c r="A106" s="25" t="s">
        <v>195</v>
      </c>
      <c r="B106" s="35" t="s">
        <v>55</v>
      </c>
      <c r="C106" s="34">
        <v>809</v>
      </c>
      <c r="D106" s="25">
        <v>0</v>
      </c>
      <c r="E106" s="34" t="s">
        <v>201</v>
      </c>
      <c r="F106" s="34"/>
      <c r="G106" s="10"/>
      <c r="H106" s="3"/>
    </row>
    <row r="107" spans="1:8">
      <c r="A107" s="25" t="s">
        <v>93</v>
      </c>
      <c r="B107" s="13" t="s">
        <v>56</v>
      </c>
      <c r="C107" s="34">
        <v>655</v>
      </c>
      <c r="D107" s="34">
        <v>11</v>
      </c>
      <c r="E107" s="34">
        <v>73981</v>
      </c>
      <c r="F107" s="34"/>
      <c r="G107" s="10"/>
      <c r="H107" s="3"/>
    </row>
    <row r="108" spans="1:8">
      <c r="A108" s="25" t="s">
        <v>275</v>
      </c>
      <c r="B108" s="13" t="s">
        <v>57</v>
      </c>
      <c r="C108" s="34">
        <v>28</v>
      </c>
      <c r="D108" s="34">
        <v>3</v>
      </c>
      <c r="E108" s="34">
        <v>7545</v>
      </c>
      <c r="F108" s="34"/>
      <c r="G108" s="10"/>
      <c r="H108" s="3"/>
    </row>
    <row r="109" spans="1:8">
      <c r="A109" s="25" t="s">
        <v>276</v>
      </c>
      <c r="B109" s="13" t="s">
        <v>58</v>
      </c>
      <c r="C109" s="34">
        <v>7</v>
      </c>
      <c r="D109" s="34">
        <v>0</v>
      </c>
      <c r="E109" s="34">
        <v>3803</v>
      </c>
      <c r="F109" s="34"/>
      <c r="G109" s="10"/>
      <c r="H109" s="3"/>
    </row>
    <row r="110" spans="1:8">
      <c r="A110" s="27" t="s">
        <v>277</v>
      </c>
      <c r="B110" s="13" t="s">
        <v>139</v>
      </c>
      <c r="C110" s="52">
        <v>1999</v>
      </c>
      <c r="D110" s="51">
        <v>266</v>
      </c>
      <c r="E110" s="34">
        <v>52677</v>
      </c>
      <c r="F110" s="34"/>
      <c r="G110" s="10"/>
      <c r="H110" s="3"/>
    </row>
    <row r="111" spans="1:8">
      <c r="A111" s="30">
        <v>26</v>
      </c>
      <c r="B111" s="18" t="s">
        <v>278</v>
      </c>
      <c r="C111" s="34">
        <f>SUM(C112,C113)</f>
        <v>2326</v>
      </c>
      <c r="D111" s="34">
        <f t="shared" ref="D111:E111" si="0">SUM(D112,D113)</f>
        <v>6</v>
      </c>
      <c r="E111" s="34">
        <f t="shared" si="0"/>
        <v>14701</v>
      </c>
      <c r="F111" s="34"/>
      <c r="G111" s="10"/>
      <c r="H111" s="3"/>
    </row>
    <row r="112" spans="1:8">
      <c r="A112" s="25" t="s">
        <v>92</v>
      </c>
      <c r="B112" s="13" t="s">
        <v>59</v>
      </c>
      <c r="C112" s="34">
        <v>0</v>
      </c>
      <c r="D112" s="34">
        <v>0</v>
      </c>
      <c r="E112" s="34">
        <v>0</v>
      </c>
      <c r="F112" s="34"/>
      <c r="G112" s="10"/>
      <c r="H112" s="3"/>
    </row>
    <row r="113" spans="1:8">
      <c r="A113" s="27" t="s">
        <v>94</v>
      </c>
      <c r="B113" s="13" t="s">
        <v>164</v>
      </c>
      <c r="C113" s="34">
        <v>2326</v>
      </c>
      <c r="D113" s="34">
        <v>6</v>
      </c>
      <c r="E113" s="34">
        <v>14701</v>
      </c>
      <c r="F113" s="34"/>
      <c r="G113" s="10"/>
      <c r="H113" s="3"/>
    </row>
    <row r="114" spans="1:8">
      <c r="A114" s="25"/>
      <c r="B114" s="13"/>
      <c r="C114" s="34"/>
      <c r="D114" s="34"/>
      <c r="E114" s="34"/>
      <c r="F114" s="34"/>
      <c r="G114" s="10"/>
      <c r="H114" s="3"/>
    </row>
    <row r="115" spans="1:8" ht="38.25">
      <c r="A115" s="36">
        <v>27</v>
      </c>
      <c r="B115" s="33" t="s">
        <v>279</v>
      </c>
      <c r="C115" s="51">
        <f>SUM(C116+C119)</f>
        <v>0</v>
      </c>
      <c r="D115" s="51">
        <f>SUM(D116+D119)</f>
        <v>0</v>
      </c>
      <c r="E115" s="34">
        <v>375</v>
      </c>
      <c r="F115" s="34"/>
      <c r="G115" s="10"/>
      <c r="H115" s="3"/>
    </row>
    <row r="116" spans="1:8" ht="25.5">
      <c r="A116" s="30" t="s">
        <v>196</v>
      </c>
      <c r="B116" s="126" t="s">
        <v>280</v>
      </c>
      <c r="C116" s="52">
        <f>SUM(C117,C118)</f>
        <v>0</v>
      </c>
      <c r="D116" s="52">
        <f>SUM(D117:D118)</f>
        <v>0</v>
      </c>
      <c r="E116" s="25">
        <f>SUM(E117+E118)</f>
        <v>26007</v>
      </c>
      <c r="F116" s="25"/>
      <c r="G116" s="10"/>
      <c r="H116" s="3"/>
    </row>
    <row r="117" spans="1:8">
      <c r="A117" s="25" t="s">
        <v>281</v>
      </c>
      <c r="B117" s="35" t="s">
        <v>124</v>
      </c>
      <c r="C117" s="25">
        <v>0</v>
      </c>
      <c r="D117" s="25">
        <v>0</v>
      </c>
      <c r="E117" s="25">
        <v>3541</v>
      </c>
      <c r="F117" s="25"/>
      <c r="G117" s="10"/>
      <c r="H117" s="3"/>
    </row>
    <row r="118" spans="1:8">
      <c r="A118" s="25" t="s">
        <v>282</v>
      </c>
      <c r="B118" s="35" t="s">
        <v>125</v>
      </c>
      <c r="C118" s="25">
        <v>0</v>
      </c>
      <c r="D118" s="25">
        <v>0</v>
      </c>
      <c r="E118" s="25">
        <v>22466</v>
      </c>
      <c r="F118" s="25"/>
      <c r="G118" s="10"/>
      <c r="H118" s="3"/>
    </row>
    <row r="119" spans="1:8" ht="25.5">
      <c r="A119" s="30" t="s">
        <v>283</v>
      </c>
      <c r="B119" s="126" t="s">
        <v>284</v>
      </c>
      <c r="C119" s="52">
        <f>SUM(C120:C122)</f>
        <v>0</v>
      </c>
      <c r="D119" s="52">
        <f>SUM(D120:D122)</f>
        <v>0</v>
      </c>
      <c r="E119" s="25">
        <f>SUM(E120:E122)</f>
        <v>8366</v>
      </c>
      <c r="F119" s="25"/>
      <c r="G119" s="10"/>
      <c r="H119" s="3"/>
    </row>
    <row r="120" spans="1:8">
      <c r="A120" s="25" t="s">
        <v>285</v>
      </c>
      <c r="B120" s="35" t="s">
        <v>126</v>
      </c>
      <c r="C120" s="25">
        <v>0</v>
      </c>
      <c r="D120" s="25">
        <v>0</v>
      </c>
      <c r="E120" s="25">
        <v>0</v>
      </c>
      <c r="F120" s="25"/>
      <c r="G120" s="10"/>
      <c r="H120" s="3"/>
    </row>
    <row r="121" spans="1:8" s="175" customFormat="1">
      <c r="A121" s="27" t="s">
        <v>286</v>
      </c>
      <c r="B121" s="35" t="s">
        <v>287</v>
      </c>
      <c r="C121" s="25"/>
      <c r="D121" s="25"/>
      <c r="E121" s="25">
        <v>7942</v>
      </c>
      <c r="F121" s="25"/>
      <c r="G121" s="10"/>
      <c r="H121" s="3"/>
    </row>
    <row r="122" spans="1:8">
      <c r="A122" s="25" t="s">
        <v>288</v>
      </c>
      <c r="B122" s="35" t="s">
        <v>218</v>
      </c>
      <c r="C122" s="25">
        <v>0</v>
      </c>
      <c r="D122" s="25">
        <v>0</v>
      </c>
      <c r="E122" s="25">
        <f>132+292</f>
        <v>424</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v>63</v>
      </c>
      <c r="D125" s="52">
        <v>1</v>
      </c>
      <c r="E125" s="25">
        <f>SUM(E126+E127)</f>
        <v>8240</v>
      </c>
      <c r="F125" s="25"/>
      <c r="G125" s="10"/>
      <c r="H125" s="3"/>
    </row>
    <row r="126" spans="1:8">
      <c r="A126" s="25" t="s">
        <v>127</v>
      </c>
      <c r="B126" s="24" t="s">
        <v>40</v>
      </c>
      <c r="C126" s="25">
        <v>10</v>
      </c>
      <c r="D126" s="25">
        <v>0</v>
      </c>
      <c r="E126" s="25">
        <v>2902</v>
      </c>
      <c r="F126" s="25"/>
      <c r="G126" s="10"/>
      <c r="H126" s="3"/>
    </row>
    <row r="127" spans="1:8">
      <c r="A127" s="25" t="s">
        <v>129</v>
      </c>
      <c r="B127" s="24" t="s">
        <v>41</v>
      </c>
      <c r="C127" s="25">
        <v>53</v>
      </c>
      <c r="D127" s="25">
        <v>1</v>
      </c>
      <c r="E127" s="25">
        <v>5338</v>
      </c>
      <c r="F127" s="25"/>
      <c r="G127" s="10"/>
      <c r="H127" s="3"/>
    </row>
    <row r="128" spans="1:8">
      <c r="A128" s="25"/>
      <c r="C128" s="25"/>
      <c r="D128" s="25"/>
      <c r="E128" s="25"/>
      <c r="F128" s="25"/>
      <c r="G128" s="10"/>
      <c r="H128" s="3"/>
    </row>
    <row r="129" spans="1:9" s="175" customFormat="1">
      <c r="A129" s="30">
        <v>29</v>
      </c>
      <c r="B129" s="6" t="s">
        <v>290</v>
      </c>
      <c r="C129" s="25"/>
      <c r="D129" s="25"/>
      <c r="E129" s="25"/>
      <c r="F129" s="25"/>
      <c r="G129" s="10"/>
      <c r="H129" s="3"/>
    </row>
    <row r="130" spans="1:9" s="175" customFormat="1">
      <c r="A130" s="30" t="s">
        <v>165</v>
      </c>
      <c r="B130" s="6" t="s">
        <v>37</v>
      </c>
      <c r="C130" s="25">
        <v>0</v>
      </c>
      <c r="D130" s="25">
        <v>0</v>
      </c>
      <c r="E130" s="25">
        <v>2470</v>
      </c>
      <c r="F130" s="25"/>
      <c r="G130" s="10"/>
      <c r="H130" s="3"/>
    </row>
    <row r="131" spans="1:9" s="175" customFormat="1">
      <c r="A131" s="30" t="s">
        <v>166</v>
      </c>
      <c r="B131" s="6" t="s">
        <v>79</v>
      </c>
      <c r="C131" s="25">
        <v>0</v>
      </c>
      <c r="D131" s="25">
        <v>0</v>
      </c>
      <c r="E131" s="25">
        <v>150</v>
      </c>
      <c r="F131" s="25"/>
      <c r="G131" s="10"/>
      <c r="H131" s="3" t="s">
        <v>402</v>
      </c>
      <c r="I131" s="175" t="s">
        <v>403</v>
      </c>
    </row>
    <row r="132" spans="1:9" s="175" customFormat="1">
      <c r="A132" s="30" t="s">
        <v>291</v>
      </c>
      <c r="B132" s="29" t="s">
        <v>222</v>
      </c>
      <c r="C132" s="30" t="s">
        <v>400</v>
      </c>
      <c r="D132" s="30" t="s">
        <v>400</v>
      </c>
      <c r="E132" s="30" t="s">
        <v>400</v>
      </c>
      <c r="F132" s="30"/>
      <c r="G132" s="6"/>
      <c r="H132" s="122"/>
    </row>
    <row r="133" spans="1:9">
      <c r="A133" s="30" t="s">
        <v>292</v>
      </c>
      <c r="B133" s="29" t="s">
        <v>293</v>
      </c>
      <c r="C133" s="30">
        <f>SUM(C134+C135)</f>
        <v>30</v>
      </c>
      <c r="D133" s="30">
        <f t="shared" ref="D133:E133" si="1">SUM(D134+D135)</f>
        <v>4</v>
      </c>
      <c r="E133" s="30">
        <f t="shared" si="1"/>
        <v>87848</v>
      </c>
      <c r="F133" s="30"/>
      <c r="G133" s="6"/>
      <c r="H133" s="122"/>
    </row>
    <row r="134" spans="1:9">
      <c r="A134" s="30" t="s">
        <v>294</v>
      </c>
      <c r="B134" s="29" t="s">
        <v>223</v>
      </c>
      <c r="C134" s="30">
        <v>0</v>
      </c>
      <c r="D134" s="30">
        <v>3</v>
      </c>
      <c r="E134" s="30">
        <v>8673</v>
      </c>
      <c r="F134" s="30"/>
      <c r="G134" s="6"/>
      <c r="H134" s="122"/>
    </row>
    <row r="135" spans="1:9">
      <c r="A135" s="30" t="s">
        <v>295</v>
      </c>
      <c r="B135" s="37" t="s">
        <v>224</v>
      </c>
      <c r="C135" s="30">
        <v>30</v>
      </c>
      <c r="D135" s="30">
        <v>1</v>
      </c>
      <c r="E135" s="30">
        <v>79175</v>
      </c>
      <c r="F135" s="30"/>
      <c r="G135" s="6"/>
      <c r="H135" s="122"/>
    </row>
    <row r="136" spans="1:9" s="175" customFormat="1">
      <c r="A136" s="30" t="s">
        <v>296</v>
      </c>
      <c r="B136" s="37" t="s">
        <v>225</v>
      </c>
      <c r="C136" s="30">
        <v>0</v>
      </c>
      <c r="D136" s="30">
        <v>0</v>
      </c>
      <c r="E136" s="30">
        <v>0</v>
      </c>
      <c r="F136" s="30"/>
      <c r="G136" s="6"/>
      <c r="H136" s="122"/>
    </row>
    <row r="137" spans="1:9" s="175" customFormat="1">
      <c r="A137" s="25"/>
      <c r="B137" s="6" t="s">
        <v>297</v>
      </c>
      <c r="C137" s="25"/>
      <c r="D137" s="25"/>
      <c r="E137" s="25"/>
      <c r="F137" s="25"/>
      <c r="G137" s="10"/>
      <c r="H137" s="3"/>
    </row>
    <row r="138" spans="1:9" s="175" customFormat="1">
      <c r="A138" s="38" t="s">
        <v>298</v>
      </c>
      <c r="B138" s="37" t="s">
        <v>197</v>
      </c>
      <c r="C138" s="30">
        <v>6</v>
      </c>
      <c r="D138" s="30">
        <v>0</v>
      </c>
      <c r="E138" s="30">
        <f>6+1+5</f>
        <v>12</v>
      </c>
      <c r="F138" s="30"/>
      <c r="G138" s="6"/>
      <c r="H138" s="122"/>
    </row>
    <row r="139" spans="1:9" s="175" customFormat="1">
      <c r="A139" s="38" t="s">
        <v>299</v>
      </c>
      <c r="B139" s="37" t="s">
        <v>198</v>
      </c>
      <c r="C139" s="30">
        <v>238</v>
      </c>
      <c r="D139" s="30">
        <v>0</v>
      </c>
      <c r="E139" s="30">
        <f>319+30+3029</f>
        <v>3378</v>
      </c>
      <c r="F139" s="30"/>
      <c r="G139" s="6"/>
      <c r="H139" s="122"/>
    </row>
    <row r="140" spans="1:9" s="175" customFormat="1">
      <c r="A140" s="38" t="s">
        <v>300</v>
      </c>
      <c r="B140" s="37" t="s">
        <v>199</v>
      </c>
      <c r="C140" s="30" t="s">
        <v>400</v>
      </c>
      <c r="D140" s="30" t="s">
        <v>400</v>
      </c>
      <c r="E140" s="30" t="s">
        <v>400</v>
      </c>
      <c r="F140" s="30"/>
      <c r="G140" s="6"/>
      <c r="H140" s="122"/>
    </row>
    <row r="141" spans="1:9" s="175" customFormat="1">
      <c r="A141" s="38" t="s">
        <v>301</v>
      </c>
      <c r="B141" s="37" t="s">
        <v>200</v>
      </c>
      <c r="C141" s="30" t="s">
        <v>201</v>
      </c>
      <c r="D141" s="30" t="s">
        <v>201</v>
      </c>
      <c r="E141" s="30" t="s">
        <v>201</v>
      </c>
      <c r="F141" s="30"/>
      <c r="G141" s="6"/>
      <c r="H141" s="122"/>
    </row>
    <row r="142" spans="1:9" s="175" customFormat="1">
      <c r="A142" s="30" t="s">
        <v>302</v>
      </c>
      <c r="B142" s="37" t="s">
        <v>220</v>
      </c>
      <c r="C142" s="30">
        <v>47</v>
      </c>
      <c r="D142" s="30">
        <v>5</v>
      </c>
      <c r="E142" s="30">
        <v>2519</v>
      </c>
      <c r="F142" s="30"/>
      <c r="G142" s="6"/>
      <c r="H142" s="122"/>
    </row>
    <row r="143" spans="1:9" s="175" customFormat="1">
      <c r="A143" s="30" t="s">
        <v>303</v>
      </c>
      <c r="B143" s="37" t="s">
        <v>221</v>
      </c>
      <c r="C143" s="30">
        <v>0</v>
      </c>
      <c r="D143" s="30">
        <v>0</v>
      </c>
      <c r="E143" s="30">
        <v>98</v>
      </c>
      <c r="F143" s="30"/>
      <c r="G143" s="6"/>
      <c r="H143" s="122"/>
    </row>
    <row r="144" spans="1:9">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s="175" customFormat="1">
      <c r="A147" s="38">
        <v>30</v>
      </c>
      <c r="B147" s="6" t="s">
        <v>304</v>
      </c>
      <c r="C147" s="53">
        <f>SUM(C148:C149)</f>
        <v>5849719</v>
      </c>
    </row>
    <row r="148" spans="1:9" s="175" customFormat="1">
      <c r="A148" s="27" t="s">
        <v>169</v>
      </c>
      <c r="B148" s="10" t="s">
        <v>167</v>
      </c>
      <c r="C148" s="9" t="s">
        <v>400</v>
      </c>
    </row>
    <row r="149" spans="1:9" s="175" customFormat="1">
      <c r="A149" s="27" t="s">
        <v>171</v>
      </c>
      <c r="B149" s="10" t="s">
        <v>168</v>
      </c>
      <c r="C149" s="9">
        <v>5849719</v>
      </c>
    </row>
    <row r="150" spans="1:9" s="175" customFormat="1" ht="24.75">
      <c r="A150" s="38">
        <v>31</v>
      </c>
      <c r="B150" s="33" t="s">
        <v>305</v>
      </c>
      <c r="C150" s="9" t="s">
        <v>400</v>
      </c>
    </row>
    <row r="151" spans="1:9" s="175" customFormat="1">
      <c r="A151" s="27" t="s">
        <v>137</v>
      </c>
      <c r="B151" s="10" t="s">
        <v>170</v>
      </c>
      <c r="C151" s="9" t="s">
        <v>400</v>
      </c>
    </row>
    <row r="152" spans="1:9" s="175" customFormat="1">
      <c r="A152" s="27" t="s">
        <v>138</v>
      </c>
      <c r="B152" s="10" t="s">
        <v>172</v>
      </c>
      <c r="C152" s="9" t="s">
        <v>400</v>
      </c>
    </row>
    <row r="153" spans="1:9">
      <c r="A153" s="27"/>
      <c r="B153" s="10"/>
      <c r="C153" s="9"/>
    </row>
    <row r="154" spans="1:9">
      <c r="A154" s="30"/>
      <c r="B154" s="1201" t="s">
        <v>306</v>
      </c>
      <c r="C154" s="1202"/>
    </row>
    <row r="155" spans="1:9">
      <c r="A155" s="30">
        <v>32</v>
      </c>
      <c r="B155" s="26" t="s">
        <v>307</v>
      </c>
      <c r="C155" s="52">
        <f>SUM(C156,C157,C163)</f>
        <v>58169</v>
      </c>
    </row>
    <row r="156" spans="1:9">
      <c r="A156" s="25" t="s">
        <v>308</v>
      </c>
      <c r="B156" s="28" t="s">
        <v>69</v>
      </c>
      <c r="C156" s="25">
        <v>26198</v>
      </c>
    </row>
    <row r="157" spans="1:9">
      <c r="A157" s="27" t="s">
        <v>309</v>
      </c>
      <c r="B157" s="28" t="s">
        <v>70</v>
      </c>
      <c r="C157" s="25">
        <v>7708</v>
      </c>
    </row>
    <row r="158" spans="1:9">
      <c r="A158" s="30">
        <v>33</v>
      </c>
      <c r="B158" s="41" t="s">
        <v>71</v>
      </c>
      <c r="C158" s="25">
        <v>27381</v>
      </c>
    </row>
    <row r="159" spans="1:9">
      <c r="A159" s="30">
        <v>34</v>
      </c>
      <c r="B159" s="26" t="s">
        <v>310</v>
      </c>
      <c r="C159" s="52">
        <f>SUM(C160:C162)</f>
        <v>500</v>
      </c>
    </row>
    <row r="160" spans="1:9">
      <c r="A160" s="25" t="s">
        <v>173</v>
      </c>
      <c r="B160" s="28" t="s">
        <v>72</v>
      </c>
      <c r="C160" s="25">
        <v>200</v>
      </c>
      <c r="D160" t="s">
        <v>404</v>
      </c>
    </row>
    <row r="161" spans="1:7">
      <c r="A161" s="27" t="s">
        <v>175</v>
      </c>
      <c r="B161" s="28" t="s">
        <v>73</v>
      </c>
      <c r="C161" s="25">
        <v>300</v>
      </c>
      <c r="D161" t="s">
        <v>404</v>
      </c>
    </row>
    <row r="162" spans="1:7">
      <c r="A162" s="27" t="s">
        <v>177</v>
      </c>
      <c r="B162" s="28" t="s">
        <v>214</v>
      </c>
      <c r="C162" s="25" t="s">
        <v>400</v>
      </c>
    </row>
    <row r="163" spans="1:7">
      <c r="A163" s="23">
        <v>35</v>
      </c>
      <c r="B163" s="26" t="s">
        <v>311</v>
      </c>
      <c r="C163" s="52">
        <f>SUM(C164:C166)</f>
        <v>24263</v>
      </c>
    </row>
    <row r="164" spans="1:7">
      <c r="A164" s="39" t="s">
        <v>312</v>
      </c>
      <c r="B164" s="41" t="s">
        <v>174</v>
      </c>
      <c r="C164" s="25">
        <v>5783</v>
      </c>
    </row>
    <row r="165" spans="1:7">
      <c r="A165" s="27" t="s">
        <v>313</v>
      </c>
      <c r="B165" s="41" t="s">
        <v>176</v>
      </c>
      <c r="C165" s="25">
        <v>18480</v>
      </c>
      <c r="D165" t="s">
        <v>404</v>
      </c>
    </row>
    <row r="166" spans="1:7">
      <c r="A166" s="27" t="s">
        <v>314</v>
      </c>
      <c r="B166" s="41" t="s">
        <v>178</v>
      </c>
      <c r="C166" s="25" t="s">
        <v>400</v>
      </c>
    </row>
    <row r="168" spans="1:7" s="175" customFormat="1">
      <c r="A168" s="23"/>
      <c r="B168" s="129" t="s">
        <v>87</v>
      </c>
      <c r="C168" s="177"/>
      <c r="D168" s="177"/>
      <c r="E168" s="178"/>
      <c r="F168" s="131"/>
    </row>
    <row r="169" spans="1:7" s="175" customFormat="1">
      <c r="A169" s="23">
        <v>36</v>
      </c>
      <c r="B169" s="132" t="s">
        <v>74</v>
      </c>
      <c r="C169" s="133">
        <v>1709</v>
      </c>
      <c r="D169" s="134"/>
      <c r="E169" s="46"/>
      <c r="F169" s="46"/>
      <c r="G169" s="179"/>
    </row>
    <row r="170" spans="1:7" s="175" customFormat="1">
      <c r="A170" s="23">
        <v>37</v>
      </c>
      <c r="B170" s="41" t="s">
        <v>75</v>
      </c>
      <c r="C170" s="136">
        <v>3753</v>
      </c>
      <c r="D170" s="134"/>
      <c r="E170" s="46"/>
      <c r="F170" s="46"/>
      <c r="G170" s="179"/>
    </row>
    <row r="171" spans="1:7" s="175" customFormat="1">
      <c r="A171" s="23">
        <v>38</v>
      </c>
      <c r="B171" s="26" t="s">
        <v>315</v>
      </c>
      <c r="C171" s="54">
        <f>SUM(C172:C174)</f>
        <v>5462</v>
      </c>
      <c r="D171" s="134"/>
      <c r="E171" s="180"/>
      <c r="F171" s="180"/>
      <c r="G171" s="180"/>
    </row>
    <row r="172" spans="1:7" s="175" customFormat="1">
      <c r="A172" s="39" t="s">
        <v>118</v>
      </c>
      <c r="B172" s="28" t="s">
        <v>208</v>
      </c>
      <c r="C172" s="133">
        <v>3547</v>
      </c>
      <c r="D172" s="134"/>
      <c r="E172" s="46"/>
      <c r="F172" s="46"/>
      <c r="G172" s="179"/>
    </row>
    <row r="173" spans="1:7" s="175" customFormat="1">
      <c r="A173" s="39" t="s">
        <v>119</v>
      </c>
      <c r="B173" s="28" t="s">
        <v>209</v>
      </c>
      <c r="C173" s="40">
        <v>348</v>
      </c>
      <c r="D173" s="134"/>
      <c r="E173" s="46"/>
      <c r="F173" s="46"/>
      <c r="G173" s="179"/>
    </row>
    <row r="174" spans="1:7" s="175" customFormat="1">
      <c r="A174" s="27" t="s">
        <v>120</v>
      </c>
      <c r="B174" s="28" t="s">
        <v>210</v>
      </c>
      <c r="C174" s="40">
        <v>1567</v>
      </c>
      <c r="D174" s="134"/>
      <c r="E174" s="46"/>
      <c r="F174" s="46"/>
      <c r="G174" s="179"/>
    </row>
    <row r="175" spans="1:7" s="175" customFormat="1">
      <c r="A175" s="23">
        <v>39</v>
      </c>
      <c r="B175" s="26" t="s">
        <v>316</v>
      </c>
      <c r="C175" s="54">
        <f>SUM(C176:C178)</f>
        <v>0</v>
      </c>
      <c r="D175" s="134"/>
      <c r="E175" s="46"/>
      <c r="F175" s="46"/>
      <c r="G175" s="179"/>
    </row>
    <row r="176" spans="1:7" s="175" customFormat="1">
      <c r="A176" s="39" t="s">
        <v>317</v>
      </c>
      <c r="B176" s="28" t="s">
        <v>76</v>
      </c>
      <c r="C176" s="40">
        <v>0</v>
      </c>
      <c r="D176" s="134"/>
      <c r="E176" s="46"/>
      <c r="F176" s="46"/>
      <c r="G176" s="179"/>
    </row>
    <row r="177" spans="1:7" s="175" customFormat="1">
      <c r="A177" s="39" t="s">
        <v>318</v>
      </c>
      <c r="B177" s="28" t="s">
        <v>77</v>
      </c>
      <c r="C177" s="40">
        <v>0</v>
      </c>
      <c r="D177" s="134"/>
      <c r="E177" s="46"/>
      <c r="F177" s="46"/>
      <c r="G177" s="179"/>
    </row>
    <row r="178" spans="1:7" s="175" customFormat="1">
      <c r="A178" s="27" t="s">
        <v>319</v>
      </c>
      <c r="B178" s="28" t="s">
        <v>78</v>
      </c>
      <c r="C178" s="40">
        <v>0</v>
      </c>
      <c r="D178" s="134"/>
      <c r="E178" s="46"/>
      <c r="F178" s="46"/>
      <c r="G178" s="179"/>
    </row>
    <row r="179" spans="1:7">
      <c r="A179" s="39"/>
      <c r="B179" s="28"/>
      <c r="C179" s="40"/>
      <c r="D179" s="134"/>
      <c r="E179" s="46"/>
      <c r="F179" s="46"/>
      <c r="G179" s="135"/>
    </row>
    <row r="180" spans="1:7" s="175" customFormat="1" ht="25.5">
      <c r="A180" s="39"/>
      <c r="B180" s="139" t="s">
        <v>88</v>
      </c>
      <c r="C180" s="40"/>
      <c r="D180" s="134"/>
      <c r="E180" s="46"/>
      <c r="F180" s="46"/>
      <c r="G180" s="179"/>
    </row>
    <row r="181" spans="1:7" s="175" customFormat="1">
      <c r="A181" s="23">
        <v>40</v>
      </c>
      <c r="B181" s="41" t="s">
        <v>74</v>
      </c>
      <c r="C181" s="40">
        <v>1711</v>
      </c>
      <c r="D181" s="134"/>
      <c r="E181" s="46"/>
      <c r="F181" s="46"/>
      <c r="G181" s="179"/>
    </row>
    <row r="182" spans="1:7" s="175" customFormat="1">
      <c r="A182" s="23">
        <v>41</v>
      </c>
      <c r="B182" s="41" t="s">
        <v>75</v>
      </c>
      <c r="C182" s="40">
        <v>2111</v>
      </c>
      <c r="D182" s="134"/>
      <c r="E182" s="46"/>
      <c r="F182" s="46"/>
      <c r="G182" s="179"/>
    </row>
    <row r="183" spans="1:7" s="175" customFormat="1">
      <c r="A183" s="23">
        <v>42</v>
      </c>
      <c r="B183" s="26" t="s">
        <v>320</v>
      </c>
      <c r="C183" s="54">
        <f>SUM(C184:C186)</f>
        <v>3822</v>
      </c>
      <c r="D183" s="134"/>
      <c r="E183" s="46"/>
      <c r="F183" s="46"/>
      <c r="G183" s="179"/>
    </row>
    <row r="184" spans="1:7" s="175" customFormat="1">
      <c r="A184" s="39" t="s">
        <v>96</v>
      </c>
      <c r="B184" s="28" t="s">
        <v>211</v>
      </c>
      <c r="C184" s="136">
        <v>2447</v>
      </c>
      <c r="D184" s="134"/>
      <c r="E184" s="46"/>
      <c r="F184" s="46"/>
      <c r="G184" s="179"/>
    </row>
    <row r="185" spans="1:7" s="175" customFormat="1">
      <c r="A185" s="39" t="s">
        <v>97</v>
      </c>
      <c r="B185" s="28" t="s">
        <v>212</v>
      </c>
      <c r="C185" s="40">
        <v>323</v>
      </c>
      <c r="D185" s="140"/>
      <c r="E185" s="141"/>
      <c r="F185" s="46"/>
      <c r="G185" s="179"/>
    </row>
    <row r="186" spans="1:7" s="175" customFormat="1">
      <c r="A186" s="27" t="s">
        <v>98</v>
      </c>
      <c r="B186" s="28" t="s">
        <v>213</v>
      </c>
      <c r="C186" s="25">
        <v>1052</v>
      </c>
      <c r="D186" s="25"/>
      <c r="E186" s="25"/>
      <c r="F186" s="46"/>
      <c r="G186" s="179"/>
    </row>
    <row r="187" spans="1:7" s="175" customFormat="1">
      <c r="A187" s="23">
        <v>43</v>
      </c>
      <c r="B187" s="26" t="s">
        <v>321</v>
      </c>
      <c r="C187" s="54">
        <f>SUM(C188:C190)</f>
        <v>0</v>
      </c>
      <c r="D187" s="25"/>
      <c r="E187" s="25"/>
      <c r="F187" s="46"/>
      <c r="G187" s="179"/>
    </row>
    <row r="188" spans="1:7" s="175" customFormat="1">
      <c r="A188" s="39" t="s">
        <v>100</v>
      </c>
      <c r="B188" s="28" t="s">
        <v>76</v>
      </c>
      <c r="C188" s="40">
        <v>0</v>
      </c>
      <c r="D188" s="25"/>
      <c r="E188" s="25"/>
      <c r="F188" s="46"/>
      <c r="G188" s="179"/>
    </row>
    <row r="189" spans="1:7" s="175" customFormat="1">
      <c r="A189" s="39" t="s">
        <v>101</v>
      </c>
      <c r="B189" s="28" t="s">
        <v>77</v>
      </c>
      <c r="C189" s="40">
        <v>0</v>
      </c>
      <c r="D189" s="25"/>
      <c r="E189" s="25"/>
      <c r="F189" s="46"/>
      <c r="G189" s="179"/>
    </row>
    <row r="190" spans="1:7" s="175" customFormat="1">
      <c r="A190" s="25" t="s">
        <v>102</v>
      </c>
      <c r="B190" s="13" t="s">
        <v>78</v>
      </c>
      <c r="C190" s="40">
        <v>0</v>
      </c>
      <c r="D190" s="25"/>
      <c r="E190" s="25"/>
      <c r="F190" s="46"/>
      <c r="G190" s="179"/>
    </row>
    <row r="191" spans="1:7">
      <c r="D191" s="142"/>
      <c r="E191" s="143"/>
    </row>
    <row r="192" spans="1:7">
      <c r="A192" s="25"/>
      <c r="B192" s="6" t="s">
        <v>322</v>
      </c>
      <c r="C192" s="40" t="s">
        <v>90</v>
      </c>
      <c r="D192" s="1203" t="s">
        <v>81</v>
      </c>
      <c r="E192" s="1203"/>
      <c r="F192" s="131"/>
    </row>
    <row r="193" spans="1:7">
      <c r="A193" s="25"/>
      <c r="B193" s="10"/>
      <c r="C193" s="40"/>
      <c r="D193" s="43" t="s">
        <v>82</v>
      </c>
      <c r="E193" s="43" t="s">
        <v>83</v>
      </c>
      <c r="F193" s="144"/>
    </row>
    <row r="194" spans="1:7" s="175" customFormat="1">
      <c r="A194" s="30">
        <v>44</v>
      </c>
      <c r="B194" s="6" t="s">
        <v>323</v>
      </c>
      <c r="C194" s="54">
        <f>SUM(C195:C197)</f>
        <v>307</v>
      </c>
      <c r="D194" s="52">
        <f>SUM(D195:D197)</f>
        <v>0</v>
      </c>
      <c r="E194" s="52">
        <f>SUM(E195:E197)</f>
        <v>4</v>
      </c>
      <c r="F194" s="145"/>
      <c r="G194"/>
    </row>
    <row r="195" spans="1:7" s="175" customFormat="1">
      <c r="A195" s="25" t="s">
        <v>121</v>
      </c>
      <c r="B195" s="13" t="s">
        <v>181</v>
      </c>
      <c r="C195" s="40">
        <v>303</v>
      </c>
      <c r="D195" s="25">
        <v>0</v>
      </c>
      <c r="E195" s="25">
        <v>4</v>
      </c>
      <c r="F195" s="46"/>
      <c r="G195"/>
    </row>
    <row r="196" spans="1:7" s="175" customFormat="1">
      <c r="A196" s="25" t="s">
        <v>122</v>
      </c>
      <c r="B196" s="13" t="s">
        <v>182</v>
      </c>
      <c r="C196" s="40">
        <v>4</v>
      </c>
      <c r="D196" s="25">
        <v>0</v>
      </c>
      <c r="E196" s="25">
        <v>0</v>
      </c>
      <c r="F196" s="46"/>
      <c r="G196"/>
    </row>
    <row r="197" spans="1:7" s="175" customFormat="1">
      <c r="A197" s="27" t="s">
        <v>123</v>
      </c>
      <c r="B197" s="13" t="s">
        <v>180</v>
      </c>
      <c r="C197" s="40" t="s">
        <v>400</v>
      </c>
      <c r="D197" s="25">
        <v>0</v>
      </c>
      <c r="E197" s="25">
        <v>0</v>
      </c>
      <c r="F197" s="46"/>
      <c r="G197"/>
    </row>
    <row r="198" spans="1:7" s="175" customFormat="1">
      <c r="A198" s="30">
        <v>45</v>
      </c>
      <c r="B198" s="6" t="s">
        <v>324</v>
      </c>
      <c r="C198" s="54">
        <f>SUM(C199:C201)</f>
        <v>8575</v>
      </c>
      <c r="D198" s="52">
        <f>SUM(D199:D201)</f>
        <v>0</v>
      </c>
      <c r="E198" s="52">
        <f>SUM(E199:E201)</f>
        <v>0</v>
      </c>
      <c r="F198" s="145"/>
      <c r="G198"/>
    </row>
    <row r="199" spans="1:7" s="175" customFormat="1">
      <c r="A199" s="25" t="s">
        <v>325</v>
      </c>
      <c r="B199" s="13" t="s">
        <v>80</v>
      </c>
      <c r="C199" s="40">
        <v>8505</v>
      </c>
      <c r="D199" s="25">
        <v>0</v>
      </c>
      <c r="E199" s="25">
        <v>0</v>
      </c>
      <c r="F199" s="46"/>
      <c r="G199"/>
    </row>
    <row r="200" spans="1:7" s="175" customFormat="1">
      <c r="A200" s="25" t="s">
        <v>326</v>
      </c>
      <c r="B200" s="13" t="s">
        <v>60</v>
      </c>
      <c r="C200" s="40">
        <v>70</v>
      </c>
      <c r="D200" s="25">
        <v>0</v>
      </c>
      <c r="E200" s="25">
        <v>0</v>
      </c>
      <c r="F200" s="46"/>
      <c r="G200"/>
    </row>
    <row r="201" spans="1:7" s="175" customFormat="1">
      <c r="A201" s="27" t="s">
        <v>327</v>
      </c>
      <c r="B201" s="13" t="s">
        <v>180</v>
      </c>
      <c r="C201" s="40" t="s">
        <v>400</v>
      </c>
      <c r="D201" s="25">
        <v>0</v>
      </c>
      <c r="E201" s="25">
        <v>0</v>
      </c>
      <c r="F201" s="46"/>
      <c r="G201"/>
    </row>
    <row r="202" spans="1:7" s="175" customFormat="1">
      <c r="A202" s="44"/>
      <c r="B202" s="45"/>
      <c r="C202" s="46"/>
      <c r="D202" s="146"/>
      <c r="E202" s="147"/>
      <c r="F202" s="46"/>
      <c r="G202"/>
    </row>
    <row r="203" spans="1:7" s="175" customFormat="1">
      <c r="A203" s="30">
        <v>46</v>
      </c>
      <c r="B203" s="10" t="s">
        <v>203</v>
      </c>
      <c r="C203" s="40">
        <v>1450</v>
      </c>
      <c r="D203" s="25">
        <v>0</v>
      </c>
      <c r="E203" s="25">
        <v>0</v>
      </c>
      <c r="F203" s="46"/>
      <c r="G203"/>
    </row>
    <row r="204" spans="1:7" s="175" customFormat="1">
      <c r="A204" s="30">
        <v>47</v>
      </c>
      <c r="B204" s="49" t="s">
        <v>204</v>
      </c>
      <c r="C204" s="40">
        <v>175</v>
      </c>
      <c r="D204" s="25">
        <v>0</v>
      </c>
      <c r="E204" s="25">
        <v>0</v>
      </c>
      <c r="F204" s="46"/>
      <c r="G204"/>
    </row>
    <row r="205" spans="1:7" s="175" customFormat="1">
      <c r="A205" s="30">
        <v>48</v>
      </c>
      <c r="B205" s="10" t="s">
        <v>179</v>
      </c>
      <c r="C205" s="40">
        <v>105</v>
      </c>
      <c r="D205" s="25">
        <v>0</v>
      </c>
      <c r="E205" s="25">
        <v>0</v>
      </c>
      <c r="F205" s="46"/>
      <c r="G205"/>
    </row>
    <row r="206" spans="1:7" s="175" customFormat="1">
      <c r="A206" s="30">
        <v>49</v>
      </c>
      <c r="B206" s="10" t="s">
        <v>61</v>
      </c>
      <c r="C206" s="40">
        <v>465</v>
      </c>
      <c r="D206" s="25">
        <v>0</v>
      </c>
      <c r="E206" s="25">
        <v>0</v>
      </c>
      <c r="F206" s="46"/>
      <c r="G206"/>
    </row>
    <row r="207" spans="1:7" s="175" customFormat="1">
      <c r="A207" s="148">
        <v>50</v>
      </c>
      <c r="B207" s="48" t="s">
        <v>202</v>
      </c>
      <c r="C207" s="47">
        <v>495</v>
      </c>
      <c r="D207" s="149">
        <v>0</v>
      </c>
      <c r="E207" s="150">
        <v>0</v>
      </c>
      <c r="F207" s="47"/>
      <c r="G207"/>
    </row>
    <row r="208" spans="1:7">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f>SUM(C212+C214+C216+C218+C220+C222+C224+C226)</f>
        <v>11</v>
      </c>
      <c r="D211" s="52">
        <f t="shared" ref="D211:E211" si="2">SUM(D212+D214+D216+D218+D220+D222+D224+D226)</f>
        <v>0</v>
      </c>
      <c r="E211" s="52">
        <f t="shared" si="2"/>
        <v>115</v>
      </c>
      <c r="F211" s="10"/>
    </row>
    <row r="212" spans="1:6" s="1" customFormat="1">
      <c r="A212" s="27" t="s">
        <v>329</v>
      </c>
      <c r="B212" s="13" t="s">
        <v>226</v>
      </c>
      <c r="C212" s="9">
        <v>0</v>
      </c>
      <c r="D212" s="9">
        <v>0</v>
      </c>
      <c r="E212" s="9">
        <v>81</v>
      </c>
      <c r="F212" s="10"/>
    </row>
    <row r="213" spans="1:6" s="1" customFormat="1">
      <c r="A213" s="27" t="s">
        <v>330</v>
      </c>
      <c r="B213" s="35" t="s">
        <v>128</v>
      </c>
      <c r="C213" s="9">
        <v>0</v>
      </c>
      <c r="D213" s="9">
        <v>0</v>
      </c>
      <c r="E213" s="9">
        <v>54</v>
      </c>
      <c r="F213" s="10"/>
    </row>
    <row r="214" spans="1:6" s="1" customFormat="1">
      <c r="A214" s="27" t="s">
        <v>331</v>
      </c>
      <c r="B214" s="13" t="s">
        <v>227</v>
      </c>
      <c r="C214" s="9">
        <v>0</v>
      </c>
      <c r="D214" s="9">
        <v>0</v>
      </c>
      <c r="E214" s="9">
        <v>0</v>
      </c>
      <c r="F214" s="10"/>
    </row>
    <row r="215" spans="1:6" s="1" customFormat="1">
      <c r="A215" s="27" t="s">
        <v>332</v>
      </c>
      <c r="B215" s="35" t="s">
        <v>130</v>
      </c>
      <c r="C215" s="9">
        <v>0</v>
      </c>
      <c r="D215" s="9">
        <v>0</v>
      </c>
      <c r="E215" s="9">
        <v>0</v>
      </c>
      <c r="F215" s="10"/>
    </row>
    <row r="216" spans="1:6" s="1" customFormat="1">
      <c r="A216" s="27" t="s">
        <v>333</v>
      </c>
      <c r="B216" s="13" t="s">
        <v>232</v>
      </c>
      <c r="C216" s="9">
        <v>0</v>
      </c>
      <c r="D216" s="9">
        <v>0</v>
      </c>
      <c r="E216" s="9">
        <v>0</v>
      </c>
      <c r="F216" s="10"/>
    </row>
    <row r="217" spans="1:6" s="1" customFormat="1">
      <c r="A217" s="27" t="s">
        <v>334</v>
      </c>
      <c r="B217" s="35" t="s">
        <v>131</v>
      </c>
      <c r="C217" s="9">
        <v>0</v>
      </c>
      <c r="D217" s="9">
        <v>0</v>
      </c>
      <c r="E217" s="9">
        <v>0</v>
      </c>
      <c r="F217" s="10"/>
    </row>
    <row r="218" spans="1:6" s="1" customFormat="1">
      <c r="A218" s="27" t="s">
        <v>335</v>
      </c>
      <c r="B218" s="13" t="s">
        <v>233</v>
      </c>
      <c r="C218" s="9">
        <v>11</v>
      </c>
      <c r="D218" s="9">
        <v>0</v>
      </c>
      <c r="E218" s="9">
        <v>23</v>
      </c>
      <c r="F218" s="10"/>
    </row>
    <row r="219" spans="1:6" s="1" customFormat="1">
      <c r="A219" s="27" t="s">
        <v>336</v>
      </c>
      <c r="B219" s="35" t="s">
        <v>132</v>
      </c>
      <c r="C219" s="9">
        <v>0</v>
      </c>
      <c r="D219" s="9">
        <v>0</v>
      </c>
      <c r="E219" s="9">
        <v>0</v>
      </c>
      <c r="F219" s="10"/>
    </row>
    <row r="220" spans="1:6" s="1" customFormat="1">
      <c r="A220" s="27" t="s">
        <v>337</v>
      </c>
      <c r="B220" s="13" t="s">
        <v>234</v>
      </c>
      <c r="C220" s="9">
        <v>0</v>
      </c>
      <c r="D220" s="9">
        <v>0</v>
      </c>
      <c r="E220" s="9">
        <f>4+7</f>
        <v>11</v>
      </c>
      <c r="F220" s="10"/>
    </row>
    <row r="221" spans="1:6" s="1" customFormat="1">
      <c r="A221" s="27" t="s">
        <v>338</v>
      </c>
      <c r="B221" s="35" t="s">
        <v>133</v>
      </c>
      <c r="C221" s="9">
        <v>0</v>
      </c>
      <c r="D221" s="9">
        <v>0</v>
      </c>
      <c r="E221" s="9">
        <v>11</v>
      </c>
      <c r="F221" s="10"/>
    </row>
    <row r="222" spans="1:6" s="1" customFormat="1">
      <c r="A222" s="27" t="s">
        <v>339</v>
      </c>
      <c r="B222" s="13" t="s">
        <v>235</v>
      </c>
      <c r="C222" s="9">
        <v>0</v>
      </c>
      <c r="D222" s="9">
        <v>0</v>
      </c>
      <c r="E222" s="9">
        <v>0</v>
      </c>
      <c r="F222" s="10"/>
    </row>
    <row r="223" spans="1:6" s="1" customFormat="1">
      <c r="A223" s="27" t="s">
        <v>340</v>
      </c>
      <c r="B223" s="35" t="s">
        <v>134</v>
      </c>
      <c r="C223" s="9">
        <v>0</v>
      </c>
      <c r="D223" s="9">
        <v>0</v>
      </c>
      <c r="E223" s="9">
        <v>0</v>
      </c>
      <c r="F223" s="10"/>
    </row>
    <row r="224" spans="1:6" s="1" customFormat="1">
      <c r="A224" s="27" t="s">
        <v>341</v>
      </c>
      <c r="B224" s="13" t="s">
        <v>236</v>
      </c>
      <c r="C224" s="9">
        <v>0</v>
      </c>
      <c r="D224" s="9">
        <v>0</v>
      </c>
      <c r="E224" s="9">
        <v>0</v>
      </c>
      <c r="F224" s="10"/>
    </row>
    <row r="225" spans="1:8" s="1" customFormat="1">
      <c r="A225" s="27" t="s">
        <v>342</v>
      </c>
      <c r="B225" s="35" t="s">
        <v>135</v>
      </c>
      <c r="C225" s="9">
        <v>0</v>
      </c>
      <c r="D225" s="9">
        <v>0</v>
      </c>
      <c r="E225" s="9">
        <v>0</v>
      </c>
      <c r="F225" s="10"/>
    </row>
    <row r="226" spans="1:8" s="1" customFormat="1">
      <c r="A226" s="27" t="s">
        <v>343</v>
      </c>
      <c r="B226" s="13" t="s">
        <v>237</v>
      </c>
      <c r="C226" s="9">
        <v>0</v>
      </c>
      <c r="D226" s="9">
        <v>0</v>
      </c>
      <c r="E226" s="9">
        <v>0</v>
      </c>
      <c r="F226" s="10"/>
    </row>
    <row r="227" spans="1:8" s="1" customFormat="1" ht="25.5">
      <c r="A227" s="27" t="s">
        <v>344</v>
      </c>
      <c r="B227" s="152" t="s">
        <v>136</v>
      </c>
      <c r="C227" s="9">
        <v>0</v>
      </c>
      <c r="D227" s="9">
        <v>0</v>
      </c>
      <c r="E227" s="9">
        <v>0</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81" t="s">
        <v>380</v>
      </c>
      <c r="D230" s="47"/>
      <c r="E230" s="47"/>
      <c r="F230" s="47"/>
    </row>
    <row r="231" spans="1:8">
      <c r="A231" s="27" t="s">
        <v>347</v>
      </c>
      <c r="B231" s="152" t="s">
        <v>115</v>
      </c>
      <c r="C231" s="156" t="s">
        <v>400</v>
      </c>
      <c r="D231" s="47"/>
      <c r="E231" s="47"/>
      <c r="F231" s="47"/>
    </row>
    <row r="232" spans="1:8" ht="25.5">
      <c r="A232" s="27" t="s">
        <v>348</v>
      </c>
      <c r="B232" s="155" t="s">
        <v>239</v>
      </c>
      <c r="C232" s="156" t="s">
        <v>380</v>
      </c>
      <c r="D232" s="47"/>
      <c r="E232" s="47"/>
      <c r="F232" s="47"/>
    </row>
    <row r="233" spans="1:8">
      <c r="A233" s="27" t="s">
        <v>349</v>
      </c>
      <c r="B233" s="152" t="s">
        <v>116</v>
      </c>
      <c r="C233" s="156" t="s">
        <v>400</v>
      </c>
      <c r="D233" s="47"/>
      <c r="E233" s="47"/>
      <c r="F233" s="47"/>
    </row>
    <row r="234" spans="1:8" ht="25.5">
      <c r="A234" s="27" t="s">
        <v>350</v>
      </c>
      <c r="B234" s="155" t="s">
        <v>240</v>
      </c>
      <c r="C234" s="156" t="s">
        <v>380</v>
      </c>
      <c r="D234" s="47"/>
      <c r="E234" s="47"/>
      <c r="F234" s="47"/>
    </row>
    <row r="235" spans="1:8">
      <c r="A235" s="27" t="s">
        <v>351</v>
      </c>
      <c r="B235" s="152" t="s">
        <v>117</v>
      </c>
      <c r="C235" s="157" t="s">
        <v>400</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68</v>
      </c>
      <c r="D239" s="25"/>
      <c r="E239" s="40"/>
      <c r="F239" s="40"/>
      <c r="G239" s="10"/>
      <c r="H239" s="3"/>
    </row>
    <row r="240" spans="1:8">
      <c r="A240" s="30">
        <v>53</v>
      </c>
      <c r="B240" s="10" t="s">
        <v>63</v>
      </c>
      <c r="C240" s="25">
        <v>22520</v>
      </c>
      <c r="D240" s="25"/>
      <c r="E240" s="40"/>
      <c r="F240" s="40"/>
      <c r="G240" s="10"/>
      <c r="H240" s="3"/>
    </row>
    <row r="241" spans="1:10" s="175" customFormat="1">
      <c r="A241" s="30">
        <v>54</v>
      </c>
      <c r="B241" s="10" t="s">
        <v>215</v>
      </c>
      <c r="C241" s="25">
        <v>102</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s="187" customFormat="1">
      <c r="A245" s="182">
        <v>55</v>
      </c>
      <c r="B245" s="183" t="s">
        <v>217</v>
      </c>
      <c r="C245" s="184">
        <f>SUM(C246:C251)</f>
        <v>0</v>
      </c>
      <c r="D245" s="184">
        <f>SUM(D246:D251)</f>
        <v>0</v>
      </c>
      <c r="E245" s="185">
        <f>SUM(E246:E251)</f>
        <v>0</v>
      </c>
      <c r="F245" s="185">
        <f>SUM(F246:F251)</f>
        <v>0</v>
      </c>
      <c r="G245" s="184">
        <f>SUM(C245:F245)</f>
        <v>0</v>
      </c>
      <c r="H245" s="186" t="s">
        <v>405</v>
      </c>
    </row>
    <row r="246" spans="1:10" s="187" customFormat="1">
      <c r="A246" s="188" t="s">
        <v>353</v>
      </c>
      <c r="B246" s="189" t="s">
        <v>64</v>
      </c>
      <c r="C246" s="188"/>
      <c r="D246" s="188"/>
      <c r="E246" s="190"/>
      <c r="F246" s="190"/>
      <c r="G246" s="191">
        <v>388</v>
      </c>
      <c r="H246" s="186" t="s">
        <v>405</v>
      </c>
      <c r="J246" s="188"/>
    </row>
    <row r="247" spans="1:10" s="187" customFormat="1">
      <c r="A247" s="192" t="s">
        <v>354</v>
      </c>
      <c r="B247" s="189" t="s">
        <v>65</v>
      </c>
      <c r="C247" s="188"/>
      <c r="D247" s="188"/>
      <c r="E247" s="190"/>
      <c r="F247" s="190"/>
      <c r="G247" s="191">
        <v>0</v>
      </c>
      <c r="H247" s="186" t="s">
        <v>405</v>
      </c>
    </row>
    <row r="248" spans="1:10" s="187" customFormat="1">
      <c r="A248" s="192" t="s">
        <v>355</v>
      </c>
      <c r="B248" s="189" t="s">
        <v>66</v>
      </c>
      <c r="C248" s="188"/>
      <c r="D248" s="188"/>
      <c r="E248" s="190"/>
      <c r="F248" s="190"/>
      <c r="G248" s="191">
        <v>55</v>
      </c>
      <c r="H248" s="186" t="s">
        <v>405</v>
      </c>
    </row>
    <row r="249" spans="1:10" s="187" customFormat="1">
      <c r="A249" s="192" t="s">
        <v>356</v>
      </c>
      <c r="B249" s="189" t="s">
        <v>67</v>
      </c>
      <c r="C249" s="188"/>
      <c r="D249" s="188"/>
      <c r="E249" s="190"/>
      <c r="F249" s="190"/>
      <c r="G249" s="191">
        <v>60</v>
      </c>
      <c r="H249" s="186" t="s">
        <v>405</v>
      </c>
    </row>
    <row r="250" spans="1:10" s="187" customFormat="1">
      <c r="A250" s="188" t="s">
        <v>357</v>
      </c>
      <c r="B250" s="189" t="s">
        <v>68</v>
      </c>
      <c r="C250" s="188"/>
      <c r="D250" s="188"/>
      <c r="E250" s="190"/>
      <c r="F250" s="190"/>
      <c r="G250" s="191">
        <v>39</v>
      </c>
      <c r="H250" s="186" t="s">
        <v>405</v>
      </c>
    </row>
    <row r="251" spans="1:10" s="187" customFormat="1" ht="24.75">
      <c r="A251" s="192" t="s">
        <v>358</v>
      </c>
      <c r="B251" s="193" t="s">
        <v>183</v>
      </c>
      <c r="C251" s="188"/>
      <c r="D251" s="188"/>
      <c r="E251" s="190"/>
      <c r="F251" s="190"/>
      <c r="G251" s="191">
        <v>302</v>
      </c>
      <c r="H251" s="186" t="s">
        <v>405</v>
      </c>
    </row>
    <row r="252" spans="1:10" ht="15">
      <c r="B252" s="161"/>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pageSetup orientation="portrait" r:id="rId2"/>
  <legacyDrawing r:id="rId3"/>
</worksheet>
</file>

<file path=xl/worksheets/sheet20.xml><?xml version="1.0" encoding="utf-8"?>
<worksheet xmlns="http://schemas.openxmlformats.org/spreadsheetml/2006/main" xmlns:r="http://schemas.openxmlformats.org/officeDocument/2006/relationships">
  <dimension ref="A1:J252"/>
  <sheetViews>
    <sheetView topLeftCell="A109" workbookViewId="0">
      <selection activeCell="F130" sqref="F130"/>
    </sheetView>
  </sheetViews>
  <sheetFormatPr defaultRowHeight="12.75"/>
  <cols>
    <col min="1" max="1" width="11.28515625" customWidth="1"/>
    <col min="2" max="2" width="63.140625" customWidth="1"/>
    <col min="3" max="3" width="16.5703125" customWidth="1"/>
    <col min="4" max="4" width="11.7109375" customWidth="1"/>
    <col min="5" max="5" width="14" customWidth="1"/>
    <col min="6" max="6" width="6.28515625" customWidth="1"/>
    <col min="7" max="7" width="12.140625" customWidth="1"/>
    <col min="8" max="8" width="9.140625" customWidth="1"/>
  </cols>
  <sheetData>
    <row r="1" spans="1:8" ht="18">
      <c r="A1" s="593"/>
      <c r="B1" s="594" t="s">
        <v>241</v>
      </c>
      <c r="C1" s="594"/>
      <c r="D1" s="648" t="s">
        <v>393</v>
      </c>
      <c r="E1" s="595"/>
      <c r="F1" s="595"/>
      <c r="G1" s="594"/>
      <c r="H1" s="596"/>
    </row>
    <row r="2" spans="1:8">
      <c r="A2" s="597"/>
      <c r="B2" s="596"/>
      <c r="C2" s="597"/>
      <c r="D2" s="597"/>
      <c r="E2" s="597"/>
      <c r="F2" s="597"/>
      <c r="G2" s="596"/>
      <c r="H2" s="596"/>
    </row>
    <row r="3" spans="1:8" ht="15.75">
      <c r="A3" s="598" t="s">
        <v>161</v>
      </c>
      <c r="B3" s="599" t="s">
        <v>709</v>
      </c>
      <c r="C3" s="600"/>
      <c r="D3" s="601" t="s">
        <v>185</v>
      </c>
      <c r="E3" s="600"/>
      <c r="F3" s="600"/>
      <c r="G3" s="596"/>
      <c r="H3" s="596"/>
    </row>
    <row r="4" spans="1:8">
      <c r="A4" s="597"/>
      <c r="B4" s="596"/>
      <c r="C4" s="597"/>
      <c r="D4" s="597"/>
      <c r="E4" s="597"/>
      <c r="F4" s="597"/>
      <c r="G4" s="596"/>
      <c r="H4" s="596"/>
    </row>
    <row r="5" spans="1:8" ht="12.75" customHeight="1">
      <c r="A5" s="1237" t="s">
        <v>189</v>
      </c>
      <c r="B5" s="599" t="s">
        <v>710</v>
      </c>
      <c r="C5" s="600"/>
      <c r="D5" s="602" t="s">
        <v>186</v>
      </c>
      <c r="E5" s="600"/>
      <c r="F5" s="600"/>
      <c r="G5" s="596"/>
      <c r="H5" s="596"/>
    </row>
    <row r="6" spans="1:8" ht="20.25" customHeight="1">
      <c r="A6" s="1237"/>
      <c r="B6" s="600"/>
      <c r="C6" s="597"/>
      <c r="D6" s="603" t="s">
        <v>187</v>
      </c>
      <c r="E6" s="597"/>
      <c r="F6" s="597"/>
      <c r="G6" s="596"/>
      <c r="H6" s="596"/>
    </row>
    <row r="7" spans="1:8" ht="12.75" customHeight="1">
      <c r="A7" s="1237" t="s">
        <v>184</v>
      </c>
      <c r="B7" s="599" t="s">
        <v>711</v>
      </c>
      <c r="C7" s="600"/>
      <c r="D7" s="600"/>
      <c r="E7" s="600"/>
      <c r="F7" s="600"/>
      <c r="G7" s="596"/>
      <c r="H7" s="596"/>
    </row>
    <row r="8" spans="1:8">
      <c r="A8" s="1237"/>
      <c r="B8" s="596"/>
      <c r="C8" s="600"/>
      <c r="D8" s="603" t="s">
        <v>188</v>
      </c>
      <c r="E8" s="597"/>
      <c r="F8" s="597"/>
      <c r="G8" s="596"/>
      <c r="H8" s="596"/>
    </row>
    <row r="9" spans="1:8">
      <c r="A9" s="604" t="s">
        <v>190</v>
      </c>
      <c r="B9" s="650" t="s">
        <v>712</v>
      </c>
      <c r="C9" s="600"/>
      <c r="D9" s="597"/>
      <c r="E9" s="597"/>
      <c r="F9" s="597"/>
      <c r="G9" s="596"/>
      <c r="H9" s="596"/>
    </row>
    <row r="10" spans="1:8">
      <c r="A10" s="595"/>
      <c r="B10" s="596"/>
      <c r="C10" s="597"/>
      <c r="D10" s="605" t="s">
        <v>242</v>
      </c>
      <c r="E10" s="597"/>
      <c r="F10" s="606"/>
      <c r="G10" s="596"/>
      <c r="H10" s="596"/>
    </row>
    <row r="11" spans="1:8">
      <c r="A11" s="607" t="s">
        <v>162</v>
      </c>
      <c r="B11" s="599" t="s">
        <v>713</v>
      </c>
      <c r="C11" s="600"/>
      <c r="D11" s="597"/>
      <c r="E11" s="597"/>
      <c r="F11" s="597"/>
      <c r="G11" s="596"/>
      <c r="H11" s="596"/>
    </row>
    <row r="12" spans="1:8">
      <c r="A12" s="597"/>
      <c r="B12" s="596"/>
      <c r="C12" s="597"/>
      <c r="D12" s="595"/>
      <c r="E12" s="597"/>
      <c r="F12" s="597"/>
      <c r="G12" s="596"/>
      <c r="H12" s="596"/>
    </row>
    <row r="13" spans="1:8">
      <c r="A13" s="1238" t="s">
        <v>163</v>
      </c>
      <c r="B13" s="599" t="s">
        <v>714</v>
      </c>
      <c r="C13" s="600"/>
      <c r="D13" s="600"/>
      <c r="E13" s="597"/>
      <c r="F13" s="597"/>
      <c r="G13" s="596"/>
      <c r="H13" s="596"/>
    </row>
    <row r="14" spans="1:8">
      <c r="A14" s="1238"/>
      <c r="B14" s="596"/>
      <c r="C14" s="596"/>
      <c r="D14" s="596"/>
      <c r="E14" s="596"/>
      <c r="F14" s="596"/>
      <c r="G14" s="596"/>
      <c r="H14" s="596"/>
    </row>
    <row r="16" spans="1:8" ht="13.5">
      <c r="A16" s="1316" t="s">
        <v>359</v>
      </c>
      <c r="B16" s="1414"/>
      <c r="C16" s="1319"/>
      <c r="D16" s="1319"/>
      <c r="E16" s="1319"/>
      <c r="F16" s="1319"/>
      <c r="G16" s="1409"/>
      <c r="H16" s="608"/>
    </row>
    <row r="17" spans="1:8">
      <c r="A17" s="572" t="s">
        <v>86</v>
      </c>
      <c r="B17" s="572" t="s">
        <v>8</v>
      </c>
      <c r="C17" s="572" t="s">
        <v>0</v>
      </c>
      <c r="D17" s="1407" t="s">
        <v>149</v>
      </c>
      <c r="E17" s="1407"/>
      <c r="F17" s="609"/>
      <c r="G17" s="610"/>
      <c r="H17" s="611"/>
    </row>
    <row r="18" spans="1:8">
      <c r="A18" s="572">
        <v>1</v>
      </c>
      <c r="B18" s="573" t="s">
        <v>1</v>
      </c>
      <c r="C18" s="574">
        <v>0</v>
      </c>
      <c r="D18" s="1405"/>
      <c r="E18" s="1405"/>
      <c r="F18" s="612"/>
      <c r="G18" s="613"/>
      <c r="H18" s="600"/>
    </row>
    <row r="19" spans="1:8" ht="25.5">
      <c r="A19" s="575" t="s">
        <v>111</v>
      </c>
      <c r="B19" s="614" t="s">
        <v>228</v>
      </c>
      <c r="C19" s="574">
        <v>6</v>
      </c>
      <c r="D19" s="1405"/>
      <c r="E19" s="1405"/>
      <c r="F19" s="612"/>
      <c r="G19" s="613"/>
      <c r="H19" s="600"/>
    </row>
    <row r="20" spans="1:8" ht="25.5">
      <c r="A20" s="575" t="s">
        <v>112</v>
      </c>
      <c r="B20" s="614" t="s">
        <v>229</v>
      </c>
      <c r="C20" s="574">
        <v>36</v>
      </c>
      <c r="D20" s="1405"/>
      <c r="E20" s="1405"/>
      <c r="F20" s="612"/>
      <c r="G20" s="613"/>
      <c r="H20" s="600"/>
    </row>
    <row r="21" spans="1:8" ht="25.5">
      <c r="A21" s="575" t="s">
        <v>113</v>
      </c>
      <c r="B21" s="615" t="s">
        <v>230</v>
      </c>
      <c r="C21" s="574">
        <v>8</v>
      </c>
      <c r="D21" s="1405"/>
      <c r="E21" s="1405"/>
      <c r="F21" s="612"/>
      <c r="G21" s="613"/>
      <c r="H21" s="600"/>
    </row>
    <row r="22" spans="1:8" ht="25.5">
      <c r="A22" s="575" t="s">
        <v>114</v>
      </c>
      <c r="B22" s="615" t="s">
        <v>231</v>
      </c>
      <c r="C22" s="577">
        <v>4</v>
      </c>
      <c r="D22" s="1405"/>
      <c r="E22" s="1405"/>
      <c r="F22" s="612"/>
      <c r="G22" s="613"/>
      <c r="H22" s="600"/>
    </row>
    <row r="23" spans="1:8">
      <c r="A23" s="1313"/>
      <c r="B23" s="1408"/>
      <c r="C23" s="1319"/>
      <c r="D23" s="1319"/>
      <c r="E23" s="1319"/>
      <c r="F23" s="1319"/>
      <c r="G23" s="1409"/>
      <c r="H23" s="608"/>
    </row>
    <row r="24" spans="1:8" ht="13.5">
      <c r="A24" s="1316" t="s">
        <v>360</v>
      </c>
      <c r="B24" s="1413"/>
      <c r="C24" s="1413"/>
      <c r="D24" s="1413"/>
      <c r="E24" s="1413"/>
      <c r="F24" s="1413"/>
      <c r="G24" s="1409"/>
      <c r="H24" s="608"/>
    </row>
    <row r="25" spans="1:8">
      <c r="A25" s="572" t="s">
        <v>86</v>
      </c>
      <c r="B25" s="572" t="s">
        <v>8</v>
      </c>
      <c r="C25" s="572" t="s">
        <v>2</v>
      </c>
      <c r="D25" s="1407" t="s">
        <v>149</v>
      </c>
      <c r="E25" s="1407"/>
      <c r="F25" s="609"/>
      <c r="G25" s="610"/>
      <c r="H25" s="611"/>
    </row>
    <row r="26" spans="1:8">
      <c r="A26" s="572">
        <v>2</v>
      </c>
      <c r="B26" s="573" t="s">
        <v>243</v>
      </c>
      <c r="C26" s="586">
        <f>SUM(C27:C30)</f>
        <v>33.18</v>
      </c>
      <c r="D26" s="1405"/>
      <c r="E26" s="1405"/>
      <c r="F26" s="612"/>
      <c r="G26" s="613"/>
      <c r="H26" s="600"/>
    </row>
    <row r="27" spans="1:8">
      <c r="A27" s="574" t="s">
        <v>3</v>
      </c>
      <c r="B27" s="576" t="s">
        <v>4</v>
      </c>
      <c r="C27" s="578">
        <v>25.77</v>
      </c>
      <c r="D27" s="1405"/>
      <c r="E27" s="1405"/>
      <c r="F27" s="612"/>
      <c r="G27" s="613"/>
      <c r="H27" s="600"/>
    </row>
    <row r="28" spans="1:8">
      <c r="A28" s="575" t="s">
        <v>5</v>
      </c>
      <c r="B28" s="576" t="s">
        <v>144</v>
      </c>
      <c r="C28" s="578">
        <v>3</v>
      </c>
      <c r="D28" s="1405"/>
      <c r="E28" s="1405"/>
      <c r="F28" s="612"/>
      <c r="G28" s="613"/>
      <c r="H28" s="600"/>
    </row>
    <row r="29" spans="1:8">
      <c r="A29" s="574" t="s">
        <v>145</v>
      </c>
      <c r="B29" s="576" t="s">
        <v>146</v>
      </c>
      <c r="C29" s="578">
        <v>4.41</v>
      </c>
      <c r="D29" s="1309"/>
      <c r="E29" s="1412"/>
      <c r="F29" s="617"/>
      <c r="G29" s="613"/>
      <c r="H29" s="600"/>
    </row>
    <row r="30" spans="1:8">
      <c r="A30" s="574" t="s">
        <v>244</v>
      </c>
      <c r="B30" s="576" t="s">
        <v>245</v>
      </c>
      <c r="C30" s="578">
        <v>0</v>
      </c>
      <c r="D30" s="616"/>
      <c r="E30" s="617"/>
      <c r="F30" s="617"/>
      <c r="G30" s="613"/>
      <c r="H30" s="600"/>
    </row>
    <row r="31" spans="1:8">
      <c r="A31" s="572">
        <v>3</v>
      </c>
      <c r="B31" s="573" t="s">
        <v>14</v>
      </c>
      <c r="C31" s="586">
        <f>SUM(C32:C34)</f>
        <v>45.02</v>
      </c>
      <c r="D31" s="1405"/>
      <c r="E31" s="1405"/>
      <c r="F31" s="612"/>
      <c r="G31" s="613"/>
      <c r="H31" s="600"/>
    </row>
    <row r="32" spans="1:8">
      <c r="A32" s="574" t="s">
        <v>6</v>
      </c>
      <c r="B32" s="576" t="s">
        <v>7</v>
      </c>
      <c r="C32" s="578">
        <v>21.45</v>
      </c>
      <c r="D32" s="1405"/>
      <c r="E32" s="1405"/>
      <c r="F32" s="612"/>
      <c r="G32" s="613"/>
      <c r="H32" s="600"/>
    </row>
    <row r="33" spans="1:8">
      <c r="A33" s="575" t="s">
        <v>12</v>
      </c>
      <c r="B33" s="576" t="s">
        <v>15</v>
      </c>
      <c r="C33" s="578">
        <v>13</v>
      </c>
      <c r="D33" s="1405"/>
      <c r="E33" s="1405"/>
      <c r="F33" s="612"/>
      <c r="G33" s="613"/>
      <c r="H33" s="600"/>
    </row>
    <row r="34" spans="1:8">
      <c r="A34" s="575" t="s">
        <v>13</v>
      </c>
      <c r="B34" s="576" t="s">
        <v>148</v>
      </c>
      <c r="C34" s="578">
        <v>10.57</v>
      </c>
      <c r="D34" s="1405"/>
      <c r="E34" s="1405"/>
      <c r="F34" s="612"/>
      <c r="G34" s="613"/>
      <c r="H34" s="600"/>
    </row>
    <row r="35" spans="1:8">
      <c r="A35" s="572">
        <v>4</v>
      </c>
      <c r="B35" s="579" t="s">
        <v>17</v>
      </c>
      <c r="C35" s="578">
        <v>0</v>
      </c>
      <c r="D35" s="1405"/>
      <c r="E35" s="1405"/>
      <c r="F35" s="612"/>
      <c r="G35" s="613"/>
      <c r="H35" s="600"/>
    </row>
    <row r="36" spans="1:8">
      <c r="A36" s="575" t="s">
        <v>16</v>
      </c>
      <c r="B36" s="576" t="s">
        <v>84</v>
      </c>
      <c r="C36" s="578">
        <v>0</v>
      </c>
      <c r="D36" s="1405"/>
      <c r="E36" s="1405"/>
      <c r="F36" s="612"/>
      <c r="G36" s="613"/>
      <c r="H36" s="600"/>
    </row>
    <row r="37" spans="1:8" ht="25.5">
      <c r="A37" s="572">
        <v>5</v>
      </c>
      <c r="B37" s="618" t="s">
        <v>26</v>
      </c>
      <c r="C37" s="578">
        <v>27.11</v>
      </c>
      <c r="D37" s="1405"/>
      <c r="E37" s="1405"/>
      <c r="F37" s="612"/>
      <c r="G37" s="613"/>
      <c r="H37" s="600"/>
    </row>
    <row r="38" spans="1:8">
      <c r="A38" s="580" t="s">
        <v>147</v>
      </c>
      <c r="B38" s="579" t="s">
        <v>150</v>
      </c>
      <c r="C38" s="578">
        <v>0.1701</v>
      </c>
      <c r="D38" s="1407"/>
      <c r="E38" s="1407"/>
      <c r="F38" s="609"/>
      <c r="G38" s="613"/>
      <c r="H38" s="600"/>
    </row>
    <row r="39" spans="1:8">
      <c r="A39" s="572">
        <v>6</v>
      </c>
      <c r="B39" s="573" t="s">
        <v>85</v>
      </c>
      <c r="C39" s="557">
        <f>SUM(C26+C31+C35+C37)</f>
        <v>105.31</v>
      </c>
      <c r="D39" s="1405"/>
      <c r="E39" s="1405"/>
      <c r="F39" s="612"/>
      <c r="G39" s="613"/>
      <c r="H39" s="600"/>
    </row>
    <row r="40" spans="1:8">
      <c r="A40" s="1313"/>
      <c r="B40" s="1408"/>
      <c r="C40" s="1319"/>
      <c r="D40" s="1319"/>
      <c r="E40" s="1319"/>
      <c r="F40" s="1319"/>
      <c r="G40" s="1409"/>
      <c r="H40" s="608"/>
    </row>
    <row r="41" spans="1:8" ht="15.75">
      <c r="A41" s="1316" t="s">
        <v>361</v>
      </c>
      <c r="B41" s="1410"/>
      <c r="C41" s="1410"/>
      <c r="D41" s="1410"/>
      <c r="E41" s="1410"/>
      <c r="F41" s="1410"/>
      <c r="G41" s="1411"/>
      <c r="H41" s="619"/>
    </row>
    <row r="42" spans="1:8">
      <c r="A42" s="572" t="s">
        <v>86</v>
      </c>
      <c r="B42" s="572" t="s">
        <v>8</v>
      </c>
      <c r="C42" s="572" t="s">
        <v>9</v>
      </c>
      <c r="D42" s="1407" t="s">
        <v>149</v>
      </c>
      <c r="E42" s="1407"/>
      <c r="F42" s="609"/>
      <c r="G42" s="610"/>
      <c r="H42" s="611"/>
    </row>
    <row r="43" spans="1:8">
      <c r="A43" s="572"/>
      <c r="B43" s="620" t="s">
        <v>10</v>
      </c>
      <c r="C43" s="1405"/>
      <c r="D43" s="1405"/>
      <c r="E43" s="1405"/>
      <c r="F43" s="612"/>
      <c r="G43" s="613"/>
      <c r="H43" s="600"/>
    </row>
    <row r="44" spans="1:8">
      <c r="A44" s="572">
        <v>7</v>
      </c>
      <c r="B44" s="573" t="s">
        <v>246</v>
      </c>
      <c r="C44" s="556">
        <f>SUM(C45:C47)</f>
        <v>2562524</v>
      </c>
      <c r="D44" s="1405"/>
      <c r="E44" s="1405"/>
      <c r="F44" s="612"/>
      <c r="G44" s="613"/>
      <c r="H44" s="600"/>
    </row>
    <row r="45" spans="1:8">
      <c r="A45" s="574" t="s">
        <v>11</v>
      </c>
      <c r="B45" s="576" t="s">
        <v>19</v>
      </c>
      <c r="C45" s="587">
        <v>1872204</v>
      </c>
      <c r="D45" s="1405"/>
      <c r="E45" s="1405"/>
      <c r="F45" s="612"/>
      <c r="G45" s="613"/>
      <c r="H45" s="600"/>
    </row>
    <row r="46" spans="1:8">
      <c r="A46" s="575" t="s">
        <v>18</v>
      </c>
      <c r="B46" s="576" t="s">
        <v>151</v>
      </c>
      <c r="C46" s="587">
        <v>690320</v>
      </c>
      <c r="D46" s="1405"/>
      <c r="E46" s="1405"/>
      <c r="F46" s="612"/>
      <c r="G46" s="613"/>
      <c r="H46" s="600"/>
    </row>
    <row r="47" spans="1:8">
      <c r="A47" s="574" t="s">
        <v>247</v>
      </c>
      <c r="B47" s="576" t="s">
        <v>248</v>
      </c>
      <c r="C47" s="591">
        <v>0</v>
      </c>
      <c r="D47" s="612"/>
      <c r="E47" s="612"/>
      <c r="F47" s="612"/>
      <c r="G47" s="613"/>
      <c r="H47" s="600"/>
    </row>
    <row r="48" spans="1:8">
      <c r="A48" s="572">
        <v>8</v>
      </c>
      <c r="B48" s="573" t="s">
        <v>109</v>
      </c>
      <c r="C48" s="621">
        <f>SUM(C49:C51)</f>
        <v>2350375</v>
      </c>
      <c r="D48" s="1405"/>
      <c r="E48" s="1405"/>
      <c r="F48" s="612"/>
      <c r="G48" s="613"/>
      <c r="H48" s="600"/>
    </row>
    <row r="49" spans="1:8">
      <c r="A49" s="581" t="s">
        <v>20</v>
      </c>
      <c r="B49" s="582" t="s">
        <v>23</v>
      </c>
      <c r="C49" s="587">
        <v>992487</v>
      </c>
      <c r="D49" s="1405"/>
      <c r="E49" s="1405"/>
      <c r="F49" s="612"/>
      <c r="G49" s="613"/>
      <c r="H49" s="600"/>
    </row>
    <row r="50" spans="1:8">
      <c r="A50" s="575" t="s">
        <v>21</v>
      </c>
      <c r="B50" s="576" t="s">
        <v>24</v>
      </c>
      <c r="C50" s="587">
        <v>714400</v>
      </c>
      <c r="D50" s="1405"/>
      <c r="E50" s="1405"/>
      <c r="F50" s="612"/>
      <c r="G50" s="613"/>
      <c r="H50" s="600"/>
    </row>
    <row r="51" spans="1:8">
      <c r="A51" s="575" t="s">
        <v>22</v>
      </c>
      <c r="B51" s="576" t="s">
        <v>25</v>
      </c>
      <c r="C51" s="587">
        <v>643488</v>
      </c>
      <c r="D51" s="1405"/>
      <c r="E51" s="1405"/>
      <c r="F51" s="612"/>
      <c r="G51" s="613"/>
      <c r="H51" s="600"/>
    </row>
    <row r="52" spans="1:8" ht="25.5">
      <c r="A52" s="583">
        <v>9</v>
      </c>
      <c r="B52" s="584" t="s">
        <v>27</v>
      </c>
      <c r="C52" s="588">
        <v>573258</v>
      </c>
      <c r="D52" s="1405"/>
      <c r="E52" s="1405"/>
      <c r="F52" s="612"/>
      <c r="G52" s="613"/>
      <c r="H52" s="600"/>
    </row>
    <row r="53" spans="1:8">
      <c r="A53" s="583">
        <v>10</v>
      </c>
      <c r="B53" s="584" t="s">
        <v>249</v>
      </c>
      <c r="C53" s="588">
        <f>SUM(C44+C48+C52)</f>
        <v>5486157</v>
      </c>
      <c r="D53" s="616"/>
      <c r="E53" s="622"/>
      <c r="F53" s="622"/>
      <c r="G53" s="613"/>
      <c r="H53" s="600"/>
    </row>
    <row r="54" spans="1:8">
      <c r="A54" s="583"/>
      <c r="B54" s="584"/>
      <c r="C54" s="587"/>
      <c r="D54" s="1309"/>
      <c r="E54" s="1310"/>
      <c r="F54" s="622"/>
      <c r="G54" s="613"/>
      <c r="H54" s="600"/>
    </row>
    <row r="55" spans="1:8">
      <c r="A55" s="623"/>
      <c r="B55" s="620" t="s">
        <v>250</v>
      </c>
      <c r="C55" s="624"/>
      <c r="D55" s="1407"/>
      <c r="E55" s="1405"/>
      <c r="F55" s="612"/>
      <c r="G55" s="613"/>
      <c r="H55" s="600"/>
    </row>
    <row r="56" spans="1:8" ht="25.5">
      <c r="A56" s="625">
        <v>11</v>
      </c>
      <c r="B56" s="626" t="s">
        <v>251</v>
      </c>
      <c r="C56" s="627">
        <f>SUM(C57:C59)</f>
        <v>507906</v>
      </c>
      <c r="D56" s="1405"/>
      <c r="E56" s="1405"/>
      <c r="F56" s="612"/>
      <c r="G56" s="613"/>
      <c r="H56" s="600"/>
    </row>
    <row r="57" spans="1:8">
      <c r="A57" s="628" t="s">
        <v>30</v>
      </c>
      <c r="B57" s="629" t="s">
        <v>28</v>
      </c>
      <c r="C57" s="587">
        <v>368933</v>
      </c>
      <c r="D57" s="1405"/>
      <c r="E57" s="1405"/>
      <c r="F57" s="612"/>
      <c r="G57" s="613"/>
      <c r="H57" s="600"/>
    </row>
    <row r="58" spans="1:8">
      <c r="A58" s="628" t="s">
        <v>32</v>
      </c>
      <c r="B58" s="629" t="s">
        <v>363</v>
      </c>
      <c r="C58" s="587">
        <v>138165</v>
      </c>
      <c r="D58" s="1405"/>
      <c r="E58" s="1405"/>
      <c r="F58" s="612"/>
      <c r="G58" s="613"/>
      <c r="H58" s="600"/>
    </row>
    <row r="59" spans="1:8">
      <c r="A59" s="628" t="s">
        <v>34</v>
      </c>
      <c r="B59" s="629" t="s">
        <v>29</v>
      </c>
      <c r="C59" s="587">
        <v>808</v>
      </c>
      <c r="D59" s="1405"/>
      <c r="E59" s="1405"/>
      <c r="F59" s="612"/>
      <c r="G59" s="613"/>
      <c r="H59" s="600"/>
    </row>
    <row r="60" spans="1:8" ht="25.5">
      <c r="A60" s="625">
        <v>12</v>
      </c>
      <c r="B60" s="626" t="s">
        <v>252</v>
      </c>
      <c r="C60" s="589">
        <f>SUM(C61+C62+C64+C65+C66)</f>
        <v>1808893</v>
      </c>
      <c r="D60" s="1405"/>
      <c r="E60" s="1405"/>
      <c r="F60" s="612"/>
      <c r="G60" s="613"/>
      <c r="H60" s="600"/>
    </row>
    <row r="61" spans="1:8">
      <c r="A61" s="628" t="s">
        <v>36</v>
      </c>
      <c r="B61" s="629" t="s">
        <v>31</v>
      </c>
      <c r="C61" s="587">
        <v>149180</v>
      </c>
      <c r="D61" s="1405"/>
      <c r="E61" s="1405"/>
      <c r="F61" s="612"/>
      <c r="G61" s="613"/>
      <c r="H61" s="600"/>
    </row>
    <row r="62" spans="1:8">
      <c r="A62" s="628" t="s">
        <v>38</v>
      </c>
      <c r="B62" s="629" t="s">
        <v>206</v>
      </c>
      <c r="C62" s="587">
        <v>1617462</v>
      </c>
      <c r="D62" s="1405"/>
      <c r="E62" s="1405"/>
      <c r="F62" s="612"/>
      <c r="G62" s="613"/>
      <c r="H62" s="600"/>
    </row>
    <row r="63" spans="1:8">
      <c r="A63" s="628" t="s">
        <v>253</v>
      </c>
      <c r="B63" s="629" t="s">
        <v>33</v>
      </c>
      <c r="C63" s="587">
        <v>153868</v>
      </c>
      <c r="D63" s="1405"/>
      <c r="E63" s="1405"/>
      <c r="F63" s="612"/>
      <c r="G63" s="613"/>
      <c r="H63" s="600"/>
    </row>
    <row r="64" spans="1:8">
      <c r="A64" s="628" t="s">
        <v>39</v>
      </c>
      <c r="B64" s="629" t="s">
        <v>35</v>
      </c>
      <c r="C64" s="587">
        <v>11342</v>
      </c>
      <c r="D64" s="1405"/>
      <c r="E64" s="1405"/>
      <c r="F64" s="612"/>
      <c r="G64" s="613"/>
      <c r="H64" s="600"/>
    </row>
    <row r="65" spans="1:8">
      <c r="A65" s="630" t="s">
        <v>254</v>
      </c>
      <c r="B65" s="629" t="s">
        <v>153</v>
      </c>
      <c r="C65" s="587">
        <v>28739</v>
      </c>
      <c r="D65" s="1405"/>
      <c r="E65" s="1405"/>
      <c r="F65" s="612"/>
      <c r="G65" s="613"/>
      <c r="H65" s="600"/>
    </row>
    <row r="66" spans="1:8">
      <c r="A66" s="630" t="s">
        <v>255</v>
      </c>
      <c r="B66" s="631" t="s">
        <v>216</v>
      </c>
      <c r="C66" s="587">
        <v>2170</v>
      </c>
      <c r="D66" s="1405"/>
      <c r="E66" s="1405"/>
      <c r="F66" s="612"/>
      <c r="G66" s="613"/>
      <c r="H66" s="600"/>
    </row>
    <row r="67" spans="1:8">
      <c r="A67" s="625">
        <v>13</v>
      </c>
      <c r="B67" s="632" t="s">
        <v>256</v>
      </c>
      <c r="C67" s="589">
        <f>SUM(C68:C69)</f>
        <v>16710</v>
      </c>
      <c r="D67" s="1405"/>
      <c r="E67" s="1405"/>
      <c r="F67" s="612"/>
      <c r="G67" s="613"/>
      <c r="H67" s="600"/>
    </row>
    <row r="68" spans="1:8">
      <c r="A68" s="628" t="s">
        <v>156</v>
      </c>
      <c r="B68" s="631" t="s">
        <v>40</v>
      </c>
      <c r="C68" s="587">
        <v>329</v>
      </c>
      <c r="D68" s="1405"/>
      <c r="E68" s="1405"/>
      <c r="F68" s="612"/>
      <c r="G68" s="613"/>
      <c r="H68" s="600"/>
    </row>
    <row r="69" spans="1:8">
      <c r="A69" s="628" t="s">
        <v>157</v>
      </c>
      <c r="B69" s="631" t="s">
        <v>41</v>
      </c>
      <c r="C69" s="587">
        <v>16381</v>
      </c>
      <c r="D69" s="1405"/>
      <c r="E69" s="1405"/>
      <c r="F69" s="612"/>
      <c r="G69" s="613"/>
      <c r="H69" s="600"/>
    </row>
    <row r="70" spans="1:8">
      <c r="A70" s="623">
        <v>14</v>
      </c>
      <c r="B70" s="610" t="s">
        <v>257</v>
      </c>
      <c r="C70" s="589">
        <f>SUM(C71:C75)</f>
        <v>0</v>
      </c>
      <c r="D70" s="1405"/>
      <c r="E70" s="1405"/>
      <c r="F70" s="612"/>
      <c r="G70" s="613"/>
      <c r="H70" s="600"/>
    </row>
    <row r="71" spans="1:8">
      <c r="A71" s="633" t="s">
        <v>42</v>
      </c>
      <c r="B71" s="634" t="s">
        <v>155</v>
      </c>
      <c r="C71" s="587">
        <v>0</v>
      </c>
      <c r="D71" s="1407"/>
      <c r="E71" s="1407"/>
      <c r="F71" s="609"/>
      <c r="G71" s="613"/>
      <c r="H71" s="600"/>
    </row>
    <row r="72" spans="1:8">
      <c r="A72" s="633" t="s">
        <v>43</v>
      </c>
      <c r="B72" s="635" t="s">
        <v>258</v>
      </c>
      <c r="C72" s="587">
        <v>0</v>
      </c>
      <c r="D72" s="609"/>
      <c r="E72" s="609"/>
      <c r="F72" s="609"/>
      <c r="G72" s="613"/>
      <c r="H72" s="600"/>
    </row>
    <row r="73" spans="1:8">
      <c r="A73" s="633" t="s">
        <v>45</v>
      </c>
      <c r="B73" s="636" t="s">
        <v>44</v>
      </c>
      <c r="C73" s="587">
        <v>0</v>
      </c>
      <c r="D73" s="1405"/>
      <c r="E73" s="1405"/>
      <c r="F73" s="612"/>
      <c r="G73" s="613"/>
      <c r="H73" s="600"/>
    </row>
    <row r="74" spans="1:8">
      <c r="A74" s="633" t="s">
        <v>154</v>
      </c>
      <c r="B74" s="636" t="s">
        <v>46</v>
      </c>
      <c r="C74" s="587">
        <v>0</v>
      </c>
      <c r="D74" s="1405"/>
      <c r="E74" s="1405"/>
      <c r="F74" s="612"/>
      <c r="G74" s="613"/>
      <c r="H74" s="600"/>
    </row>
    <row r="75" spans="1:8">
      <c r="A75" s="637" t="s">
        <v>259</v>
      </c>
      <c r="B75" s="636" t="s">
        <v>104</v>
      </c>
      <c r="C75" s="587"/>
      <c r="D75" s="1405"/>
      <c r="E75" s="1405"/>
      <c r="F75" s="612"/>
      <c r="G75" s="613"/>
      <c r="H75" s="600"/>
    </row>
    <row r="76" spans="1:8">
      <c r="A76" s="638">
        <v>15</v>
      </c>
      <c r="B76" s="610" t="s">
        <v>260</v>
      </c>
      <c r="C76" s="555">
        <f>SUM(C56+C60+C67+C70)</f>
        <v>2333509</v>
      </c>
      <c r="D76" s="612"/>
      <c r="E76" s="612"/>
      <c r="F76" s="612"/>
      <c r="G76" s="613"/>
      <c r="H76" s="600"/>
    </row>
    <row r="77" spans="1:8">
      <c r="A77" s="637"/>
      <c r="B77" s="610"/>
      <c r="C77" s="555"/>
      <c r="D77" s="612"/>
      <c r="E77" s="612"/>
      <c r="F77" s="612"/>
      <c r="G77" s="613"/>
      <c r="H77" s="600"/>
    </row>
    <row r="78" spans="1:8">
      <c r="A78" s="637"/>
      <c r="B78" s="639" t="s">
        <v>261</v>
      </c>
      <c r="C78" s="554"/>
      <c r="D78" s="1405"/>
      <c r="E78" s="1405"/>
      <c r="F78" s="612"/>
      <c r="G78" s="613"/>
      <c r="H78" s="600"/>
    </row>
    <row r="79" spans="1:8">
      <c r="A79" s="637"/>
      <c r="C79" s="554"/>
      <c r="D79" s="612"/>
      <c r="E79" s="612"/>
      <c r="F79" s="612"/>
      <c r="G79" s="613"/>
      <c r="H79" s="600"/>
    </row>
    <row r="80" spans="1:8">
      <c r="A80" s="623">
        <v>16</v>
      </c>
      <c r="B80" s="640" t="s">
        <v>262</v>
      </c>
      <c r="C80" s="553">
        <f>SUM(C81:C85)</f>
        <v>80205</v>
      </c>
      <c r="D80" s="552"/>
      <c r="E80" s="612"/>
      <c r="F80" s="612"/>
      <c r="G80" s="613"/>
      <c r="H80" s="600"/>
    </row>
    <row r="81" spans="1:8">
      <c r="A81" s="637" t="s">
        <v>263</v>
      </c>
      <c r="B81" s="613" t="s">
        <v>264</v>
      </c>
      <c r="C81" s="553">
        <v>21280</v>
      </c>
      <c r="D81" s="552"/>
      <c r="E81" s="612"/>
      <c r="F81" s="612"/>
      <c r="G81" s="613"/>
      <c r="H81" s="600"/>
    </row>
    <row r="82" spans="1:8" ht="25.5">
      <c r="A82" s="637" t="s">
        <v>192</v>
      </c>
      <c r="B82" s="641" t="s">
        <v>207</v>
      </c>
      <c r="C82" s="553">
        <v>22925</v>
      </c>
      <c r="D82" s="552"/>
      <c r="E82" s="612"/>
      <c r="F82" s="612"/>
      <c r="G82" s="613"/>
      <c r="H82" s="600"/>
    </row>
    <row r="83" spans="1:8">
      <c r="A83" s="637" t="s">
        <v>193</v>
      </c>
      <c r="B83" s="613" t="s">
        <v>158</v>
      </c>
      <c r="C83" s="553">
        <v>1329</v>
      </c>
      <c r="D83" s="552"/>
      <c r="E83" s="612"/>
      <c r="F83" s="612"/>
      <c r="G83" s="613"/>
      <c r="H83" s="600"/>
    </row>
    <row r="84" spans="1:8">
      <c r="A84" s="637" t="s">
        <v>265</v>
      </c>
      <c r="B84" s="613" t="s">
        <v>159</v>
      </c>
      <c r="C84" s="553">
        <v>0</v>
      </c>
      <c r="D84" s="552"/>
      <c r="E84" s="612"/>
      <c r="F84" s="612"/>
      <c r="G84" s="613"/>
      <c r="H84" s="600"/>
    </row>
    <row r="85" spans="1:8">
      <c r="A85" s="637" t="s">
        <v>266</v>
      </c>
      <c r="B85" s="613" t="s">
        <v>160</v>
      </c>
      <c r="C85" s="553">
        <v>34671</v>
      </c>
      <c r="D85" s="552"/>
      <c r="E85" s="612"/>
      <c r="F85" s="612"/>
      <c r="G85" s="613"/>
      <c r="H85" s="600"/>
    </row>
    <row r="86" spans="1:8">
      <c r="A86" s="638">
        <v>17</v>
      </c>
      <c r="B86" s="639" t="s">
        <v>191</v>
      </c>
      <c r="C86" s="551">
        <v>1755</v>
      </c>
      <c r="D86" s="1405"/>
      <c r="E86" s="1405"/>
      <c r="F86" s="612"/>
      <c r="G86" s="610"/>
      <c r="H86" s="611"/>
    </row>
    <row r="87" spans="1:8">
      <c r="A87" s="638">
        <v>18</v>
      </c>
      <c r="B87" s="610" t="s">
        <v>267</v>
      </c>
      <c r="C87" s="550">
        <f>SUM(C88:C90)</f>
        <v>46338</v>
      </c>
      <c r="D87" s="1406"/>
      <c r="E87" s="1406"/>
      <c r="F87" s="612"/>
      <c r="G87" s="613"/>
      <c r="H87" s="600"/>
    </row>
    <row r="88" spans="1:8">
      <c r="A88" s="633" t="s">
        <v>268</v>
      </c>
      <c r="B88" s="642" t="s">
        <v>47</v>
      </c>
      <c r="C88" s="554">
        <v>4615</v>
      </c>
      <c r="D88" s="1406"/>
      <c r="E88" s="1406"/>
      <c r="F88" s="612"/>
      <c r="G88" s="613"/>
      <c r="H88" s="600"/>
    </row>
    <row r="89" spans="1:8">
      <c r="A89" s="633" t="s">
        <v>269</v>
      </c>
      <c r="B89" s="642" t="s">
        <v>48</v>
      </c>
      <c r="C89" s="553">
        <v>4253</v>
      </c>
      <c r="D89" s="549"/>
      <c r="E89" s="548"/>
      <c r="F89" s="612"/>
      <c r="G89" s="613"/>
      <c r="H89" s="600"/>
    </row>
    <row r="90" spans="1:8">
      <c r="A90" s="633" t="s">
        <v>270</v>
      </c>
      <c r="B90" s="642" t="s">
        <v>105</v>
      </c>
      <c r="C90" s="553">
        <v>37470</v>
      </c>
      <c r="D90" s="549"/>
      <c r="E90" s="548"/>
      <c r="F90" s="612"/>
      <c r="G90" s="613"/>
      <c r="H90" s="600"/>
    </row>
    <row r="91" spans="1:8">
      <c r="A91" s="638">
        <v>19</v>
      </c>
      <c r="B91" s="613" t="s">
        <v>205</v>
      </c>
      <c r="C91" s="553">
        <v>109881</v>
      </c>
      <c r="D91" s="549"/>
      <c r="E91" s="548"/>
      <c r="F91" s="612"/>
      <c r="G91" s="613"/>
      <c r="H91" s="600"/>
    </row>
    <row r="92" spans="1:8" ht="38.25">
      <c r="A92" s="638">
        <v>20</v>
      </c>
      <c r="B92" s="641" t="s">
        <v>106</v>
      </c>
      <c r="C92" s="553">
        <v>267523</v>
      </c>
      <c r="D92" s="549"/>
      <c r="E92" s="548"/>
      <c r="F92" s="612"/>
      <c r="G92" s="613"/>
      <c r="H92" s="600"/>
    </row>
    <row r="93" spans="1:8">
      <c r="A93" s="638">
        <v>21</v>
      </c>
      <c r="B93" s="613" t="s">
        <v>103</v>
      </c>
      <c r="C93" s="553">
        <v>122404</v>
      </c>
      <c r="D93" s="549"/>
      <c r="E93" s="548"/>
      <c r="F93" s="612"/>
      <c r="G93" s="613"/>
      <c r="H93" s="600"/>
    </row>
    <row r="94" spans="1:8" ht="25.5">
      <c r="A94" s="638">
        <v>22</v>
      </c>
      <c r="B94" s="641" t="s">
        <v>107</v>
      </c>
      <c r="C94" s="553">
        <v>614887</v>
      </c>
      <c r="D94" s="549"/>
      <c r="E94" s="548"/>
      <c r="F94" s="644"/>
      <c r="G94" s="645"/>
      <c r="H94" s="608"/>
    </row>
    <row r="95" spans="1:8" ht="25.5">
      <c r="A95" s="638">
        <v>23</v>
      </c>
      <c r="B95" s="641" t="s">
        <v>271</v>
      </c>
      <c r="C95" s="553">
        <f>SUM(C53+C76+C80+C86+C87+C91+C92+C93+C94)</f>
        <v>9062659</v>
      </c>
      <c r="D95" s="549"/>
      <c r="E95" s="548"/>
      <c r="F95" s="612"/>
      <c r="G95" s="613"/>
      <c r="H95" s="600"/>
    </row>
    <row r="96" spans="1:8">
      <c r="A96" s="637" t="s">
        <v>108</v>
      </c>
      <c r="B96" s="642" t="s">
        <v>49</v>
      </c>
      <c r="C96" s="553">
        <v>0</v>
      </c>
      <c r="D96" s="549"/>
      <c r="E96" s="548"/>
      <c r="F96" s="612"/>
      <c r="G96" s="613"/>
      <c r="H96" s="600"/>
    </row>
    <row r="97" spans="1:8">
      <c r="A97" s="638">
        <v>24</v>
      </c>
      <c r="B97" s="613" t="s">
        <v>272</v>
      </c>
      <c r="C97" s="553">
        <f>SUM(C95+C96)</f>
        <v>9062659</v>
      </c>
      <c r="D97" s="549"/>
      <c r="E97" s="548"/>
      <c r="F97" s="612"/>
      <c r="G97" s="613"/>
      <c r="H97" s="600"/>
    </row>
    <row r="98" spans="1:8">
      <c r="C98" s="199"/>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14437</v>
      </c>
      <c r="D103" s="51">
        <f>SUM(D104,D107:D110)</f>
        <v>33373</v>
      </c>
      <c r="E103" s="34">
        <v>1332422</v>
      </c>
      <c r="F103" s="34"/>
      <c r="G103" s="10"/>
      <c r="H103" s="3"/>
    </row>
    <row r="104" spans="1:8">
      <c r="A104" s="25" t="s">
        <v>91</v>
      </c>
      <c r="B104" s="13" t="s">
        <v>53</v>
      </c>
      <c r="C104" s="51">
        <v>9996</v>
      </c>
      <c r="D104" s="51">
        <v>31627</v>
      </c>
      <c r="E104" s="34">
        <v>930348</v>
      </c>
      <c r="F104" s="34"/>
      <c r="G104" s="10"/>
      <c r="H104" s="3"/>
    </row>
    <row r="105" spans="1:8">
      <c r="A105" s="25" t="s">
        <v>194</v>
      </c>
      <c r="B105" s="35" t="s">
        <v>54</v>
      </c>
      <c r="C105" s="34">
        <v>7337</v>
      </c>
      <c r="D105" s="25">
        <v>31627</v>
      </c>
      <c r="E105" s="34" t="s">
        <v>201</v>
      </c>
      <c r="F105" s="34"/>
      <c r="G105" s="10"/>
      <c r="H105" s="3"/>
    </row>
    <row r="106" spans="1:8">
      <c r="A106" s="25" t="s">
        <v>195</v>
      </c>
      <c r="B106" s="35" t="s">
        <v>55</v>
      </c>
      <c r="C106" s="34">
        <v>2659</v>
      </c>
      <c r="D106" s="25">
        <v>136</v>
      </c>
      <c r="E106" s="34" t="s">
        <v>201</v>
      </c>
      <c r="F106" s="34"/>
      <c r="G106" s="10"/>
      <c r="H106" s="3"/>
    </row>
    <row r="107" spans="1:8">
      <c r="A107" s="25" t="s">
        <v>93</v>
      </c>
      <c r="B107" s="13" t="s">
        <v>56</v>
      </c>
      <c r="C107" s="34">
        <v>185</v>
      </c>
      <c r="D107" s="34">
        <v>0</v>
      </c>
      <c r="E107" s="34">
        <v>217351</v>
      </c>
      <c r="F107" s="34"/>
      <c r="G107" s="10"/>
      <c r="H107" s="3"/>
    </row>
    <row r="108" spans="1:8">
      <c r="A108" s="25" t="s">
        <v>275</v>
      </c>
      <c r="B108" s="13" t="s">
        <v>57</v>
      </c>
      <c r="C108" s="34">
        <v>175</v>
      </c>
      <c r="D108" s="34">
        <v>872</v>
      </c>
      <c r="E108" s="34">
        <v>61437</v>
      </c>
      <c r="F108" s="34"/>
      <c r="G108" s="10"/>
      <c r="H108" s="3"/>
    </row>
    <row r="109" spans="1:8">
      <c r="A109" s="25" t="s">
        <v>276</v>
      </c>
      <c r="B109" s="13" t="s">
        <v>58</v>
      </c>
      <c r="C109" s="34">
        <v>523</v>
      </c>
      <c r="D109" s="34">
        <v>702</v>
      </c>
      <c r="E109" s="34">
        <v>17365</v>
      </c>
      <c r="F109" s="34"/>
      <c r="G109" s="10"/>
      <c r="H109" s="3"/>
    </row>
    <row r="110" spans="1:8">
      <c r="A110" s="27" t="s">
        <v>277</v>
      </c>
      <c r="B110" s="13" t="s">
        <v>139</v>
      </c>
      <c r="C110" s="52">
        <v>3558</v>
      </c>
      <c r="D110" s="51">
        <v>172</v>
      </c>
      <c r="E110" s="34">
        <v>105885</v>
      </c>
      <c r="F110" s="34"/>
      <c r="G110" s="10"/>
      <c r="H110" s="3"/>
    </row>
    <row r="111" spans="1:8">
      <c r="A111" s="30">
        <v>26</v>
      </c>
      <c r="B111" s="18" t="s">
        <v>278</v>
      </c>
      <c r="C111" s="34">
        <f>SUM(C112,C113)</f>
        <v>22322</v>
      </c>
      <c r="D111" s="34"/>
      <c r="E111" s="34">
        <v>1086428</v>
      </c>
      <c r="F111" s="34"/>
      <c r="G111" s="10"/>
      <c r="H111" s="3"/>
    </row>
    <row r="112" spans="1:8">
      <c r="A112" s="25" t="s">
        <v>92</v>
      </c>
      <c r="B112" s="13" t="s">
        <v>59</v>
      </c>
      <c r="C112" s="34">
        <v>10522</v>
      </c>
      <c r="D112" s="34"/>
      <c r="E112" s="34">
        <v>65057</v>
      </c>
      <c r="F112" s="34"/>
      <c r="G112" s="10"/>
      <c r="H112" s="3"/>
    </row>
    <row r="113" spans="1:8">
      <c r="A113" s="27" t="s">
        <v>94</v>
      </c>
      <c r="B113" s="13" t="s">
        <v>164</v>
      </c>
      <c r="C113" s="34">
        <v>11800</v>
      </c>
      <c r="D113" s="34"/>
      <c r="E113" s="34">
        <v>68012</v>
      </c>
      <c r="F113" s="34"/>
      <c r="G113" s="10"/>
      <c r="H113" s="3"/>
    </row>
    <row r="114" spans="1:8">
      <c r="A114" s="25"/>
      <c r="B114" s="13"/>
      <c r="C114" s="34"/>
      <c r="D114" s="34"/>
      <c r="E114" s="34"/>
      <c r="F114" s="34"/>
      <c r="G114" s="10"/>
      <c r="H114" s="3"/>
    </row>
    <row r="115" spans="1:8" ht="38.25">
      <c r="A115" s="36">
        <v>27</v>
      </c>
      <c r="B115" s="33" t="s">
        <v>279</v>
      </c>
      <c r="C115" s="51">
        <f>SUM(C116+C119)</f>
        <v>6</v>
      </c>
      <c r="D115" s="51">
        <f>SUM(D116+D119)</f>
        <v>54</v>
      </c>
      <c r="E115" s="34">
        <v>108643</v>
      </c>
      <c r="F115" s="34"/>
      <c r="G115" s="10"/>
      <c r="H115" s="3"/>
    </row>
    <row r="116" spans="1:8" ht="25.5">
      <c r="A116" s="30" t="s">
        <v>196</v>
      </c>
      <c r="B116" s="126" t="s">
        <v>280</v>
      </c>
      <c r="C116" s="52">
        <f>SUM(C117,C118)</f>
        <v>3</v>
      </c>
      <c r="D116" s="52">
        <f>SUM(D117:D118)</f>
        <v>41</v>
      </c>
      <c r="E116" s="34">
        <v>71866</v>
      </c>
      <c r="F116" s="25"/>
      <c r="G116" s="10"/>
      <c r="H116" s="3"/>
    </row>
    <row r="117" spans="1:8">
      <c r="A117" s="25" t="s">
        <v>281</v>
      </c>
      <c r="B117" s="35" t="s">
        <v>124</v>
      </c>
      <c r="C117" s="25">
        <v>3</v>
      </c>
      <c r="D117" s="25">
        <v>41</v>
      </c>
      <c r="E117" s="25">
        <v>361</v>
      </c>
      <c r="F117" s="25"/>
      <c r="G117" s="10"/>
      <c r="H117" s="3"/>
    </row>
    <row r="118" spans="1:8">
      <c r="A118" s="25" t="s">
        <v>282</v>
      </c>
      <c r="B118" s="35" t="s">
        <v>125</v>
      </c>
      <c r="C118" s="25" t="s">
        <v>380</v>
      </c>
      <c r="D118" s="25" t="s">
        <v>380</v>
      </c>
      <c r="E118" s="34">
        <v>71505</v>
      </c>
      <c r="F118" s="25"/>
      <c r="G118" s="10"/>
      <c r="H118" s="3"/>
    </row>
    <row r="119" spans="1:8" ht="25.5">
      <c r="A119" s="30" t="s">
        <v>283</v>
      </c>
      <c r="B119" s="126" t="s">
        <v>284</v>
      </c>
      <c r="C119" s="52">
        <f>SUM(C120:C122)</f>
        <v>3</v>
      </c>
      <c r="D119" s="52">
        <f>SUM(D120:D122)</f>
        <v>13</v>
      </c>
      <c r="E119" s="34">
        <v>36777</v>
      </c>
      <c r="F119" s="25"/>
      <c r="G119" s="10"/>
      <c r="H119" s="3"/>
    </row>
    <row r="120" spans="1:8">
      <c r="A120" s="25" t="s">
        <v>285</v>
      </c>
      <c r="B120" s="35" t="s">
        <v>126</v>
      </c>
      <c r="C120" s="25">
        <v>3</v>
      </c>
      <c r="D120" s="25">
        <v>13</v>
      </c>
      <c r="E120" s="25">
        <v>39</v>
      </c>
      <c r="F120" s="25"/>
      <c r="G120" s="10"/>
      <c r="H120" s="3"/>
    </row>
    <row r="121" spans="1:8">
      <c r="A121" s="27" t="s">
        <v>286</v>
      </c>
      <c r="B121" s="35" t="s">
        <v>287</v>
      </c>
      <c r="C121" s="25" t="s">
        <v>380</v>
      </c>
      <c r="D121" s="25" t="s">
        <v>380</v>
      </c>
      <c r="E121" s="34">
        <v>28012</v>
      </c>
      <c r="F121" s="25"/>
      <c r="G121" s="10"/>
      <c r="H121" s="3"/>
    </row>
    <row r="122" spans="1:8">
      <c r="A122" s="25" t="s">
        <v>288</v>
      </c>
      <c r="B122" s="35" t="s">
        <v>218</v>
      </c>
      <c r="C122" s="25" t="s">
        <v>380</v>
      </c>
      <c r="D122" s="25" t="s">
        <v>380</v>
      </c>
      <c r="E122" s="25">
        <v>8726</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154</v>
      </c>
      <c r="D125" s="52">
        <f>SUM(D126:D127)</f>
        <v>2</v>
      </c>
      <c r="E125" s="34">
        <v>36542</v>
      </c>
      <c r="F125" s="25"/>
      <c r="G125" s="10"/>
      <c r="H125" s="3"/>
    </row>
    <row r="126" spans="1:8">
      <c r="A126" s="25" t="s">
        <v>127</v>
      </c>
      <c r="B126" s="24" t="s">
        <v>40</v>
      </c>
      <c r="C126" s="25">
        <v>83</v>
      </c>
      <c r="D126" s="25">
        <v>2</v>
      </c>
      <c r="E126" s="34">
        <v>24570</v>
      </c>
      <c r="F126" s="25"/>
      <c r="G126" s="10"/>
      <c r="H126" s="3"/>
    </row>
    <row r="127" spans="1:8">
      <c r="A127" s="25" t="s">
        <v>129</v>
      </c>
      <c r="B127" s="24" t="s">
        <v>41</v>
      </c>
      <c r="C127" s="25">
        <v>71</v>
      </c>
      <c r="D127" s="25">
        <v>0</v>
      </c>
      <c r="E127" s="34">
        <v>11972</v>
      </c>
      <c r="F127" s="25"/>
      <c r="G127" s="10"/>
      <c r="H127" s="3"/>
    </row>
    <row r="128" spans="1:8">
      <c r="A128" s="25"/>
      <c r="C128" s="25"/>
      <c r="D128" s="25"/>
      <c r="E128" s="25"/>
      <c r="F128" s="25"/>
      <c r="G128" s="10"/>
      <c r="H128" s="3"/>
    </row>
    <row r="129" spans="1:8">
      <c r="A129" s="30">
        <v>29</v>
      </c>
      <c r="B129" s="6" t="s">
        <v>290</v>
      </c>
      <c r="C129" s="25"/>
      <c r="D129" s="25"/>
      <c r="E129" s="25"/>
      <c r="F129" s="25"/>
      <c r="G129" s="10"/>
      <c r="H129" s="3"/>
    </row>
    <row r="130" spans="1:8">
      <c r="A130" s="30" t="s">
        <v>165</v>
      </c>
      <c r="B130" s="6" t="s">
        <v>37</v>
      </c>
      <c r="C130" s="25">
        <v>107</v>
      </c>
      <c r="D130" s="25">
        <v>5</v>
      </c>
      <c r="E130" s="34">
        <v>10897</v>
      </c>
      <c r="F130" s="25"/>
      <c r="G130" s="10"/>
      <c r="H130" s="3"/>
    </row>
    <row r="131" spans="1:8">
      <c r="A131" s="30" t="s">
        <v>166</v>
      </c>
      <c r="B131" s="6" t="s">
        <v>79</v>
      </c>
      <c r="C131" s="25">
        <v>8</v>
      </c>
      <c r="D131" s="25">
        <v>0</v>
      </c>
      <c r="E131" s="25">
        <v>3315</v>
      </c>
      <c r="F131" s="25"/>
      <c r="G131" s="10"/>
      <c r="H131" s="3"/>
    </row>
    <row r="132" spans="1:8">
      <c r="A132" s="30" t="s">
        <v>291</v>
      </c>
      <c r="B132" s="29" t="s">
        <v>222</v>
      </c>
      <c r="C132" s="30">
        <v>84</v>
      </c>
      <c r="D132" s="30"/>
      <c r="E132" s="30">
        <v>3499.3</v>
      </c>
      <c r="F132" s="30"/>
      <c r="G132" s="6"/>
      <c r="H132" s="122"/>
    </row>
    <row r="133" spans="1:8">
      <c r="A133" s="30" t="s">
        <v>292</v>
      </c>
      <c r="B133" s="29" t="s">
        <v>293</v>
      </c>
      <c r="C133" s="25">
        <v>3075</v>
      </c>
      <c r="D133" s="25">
        <v>377</v>
      </c>
      <c r="E133" s="34">
        <v>1256943</v>
      </c>
      <c r="F133" s="30"/>
      <c r="G133" s="6"/>
      <c r="H133" s="122"/>
    </row>
    <row r="134" spans="1:8">
      <c r="A134" s="30" t="s">
        <v>294</v>
      </c>
      <c r="B134" s="29" t="s">
        <v>223</v>
      </c>
      <c r="C134" s="25">
        <v>3002</v>
      </c>
      <c r="D134" s="25">
        <v>376</v>
      </c>
      <c r="E134" s="25" t="s">
        <v>380</v>
      </c>
      <c r="F134" s="30"/>
      <c r="G134" s="6"/>
      <c r="H134" s="122"/>
    </row>
    <row r="135" spans="1:8">
      <c r="A135" s="30" t="s">
        <v>295</v>
      </c>
      <c r="B135" s="37" t="s">
        <v>224</v>
      </c>
      <c r="C135" s="25">
        <v>73</v>
      </c>
      <c r="D135" s="25">
        <v>1</v>
      </c>
      <c r="E135" s="25" t="s">
        <v>380</v>
      </c>
      <c r="F135" s="30"/>
      <c r="G135" s="6"/>
      <c r="H135" s="122"/>
    </row>
    <row r="136" spans="1:8">
      <c r="A136" s="30" t="s">
        <v>296</v>
      </c>
      <c r="B136" s="37" t="s">
        <v>225</v>
      </c>
      <c r="C136" s="25">
        <v>0</v>
      </c>
      <c r="D136" s="25">
        <v>172</v>
      </c>
      <c r="E136" s="34">
        <v>249249</v>
      </c>
      <c r="F136" s="30"/>
      <c r="G136" s="6"/>
      <c r="H136" s="122"/>
    </row>
    <row r="137" spans="1:8">
      <c r="A137" s="25"/>
      <c r="B137" s="6" t="s">
        <v>297</v>
      </c>
      <c r="C137" s="25"/>
      <c r="D137" s="25"/>
      <c r="E137" s="25"/>
      <c r="F137" s="25"/>
      <c r="G137" s="10"/>
      <c r="H137" s="3"/>
    </row>
    <row r="138" spans="1:8">
      <c r="A138" s="38" t="s">
        <v>298</v>
      </c>
      <c r="B138" s="37" t="s">
        <v>197</v>
      </c>
      <c r="C138" s="25">
        <v>6</v>
      </c>
      <c r="D138" s="25">
        <v>0</v>
      </c>
      <c r="E138" s="25">
        <v>10</v>
      </c>
      <c r="F138" s="30"/>
      <c r="G138" s="6"/>
      <c r="H138" s="122"/>
    </row>
    <row r="139" spans="1:8">
      <c r="A139" s="38" t="s">
        <v>299</v>
      </c>
      <c r="B139" s="37" t="s">
        <v>198</v>
      </c>
      <c r="C139" s="25">
        <v>4388</v>
      </c>
      <c r="D139" s="25">
        <v>0</v>
      </c>
      <c r="E139" s="25">
        <v>6067</v>
      </c>
      <c r="F139" s="30"/>
      <c r="G139" s="6"/>
      <c r="H139" s="122"/>
    </row>
    <row r="140" spans="1:8">
      <c r="A140" s="38" t="s">
        <v>300</v>
      </c>
      <c r="B140" s="37" t="s">
        <v>199</v>
      </c>
      <c r="C140" s="25" t="s">
        <v>380</v>
      </c>
      <c r="D140" s="25" t="s">
        <v>380</v>
      </c>
      <c r="E140" s="25" t="s">
        <v>380</v>
      </c>
      <c r="F140" s="30"/>
      <c r="G140" s="6"/>
      <c r="H140" s="122"/>
    </row>
    <row r="141" spans="1:8">
      <c r="A141" s="38" t="s">
        <v>301</v>
      </c>
      <c r="B141" s="37" t="s">
        <v>200</v>
      </c>
      <c r="C141" s="25" t="s">
        <v>201</v>
      </c>
      <c r="D141" s="25" t="s">
        <v>201</v>
      </c>
      <c r="E141" s="25">
        <v>63048</v>
      </c>
      <c r="F141" s="30"/>
      <c r="G141" s="6"/>
      <c r="H141" s="122"/>
    </row>
    <row r="142" spans="1:8">
      <c r="A142" s="30" t="s">
        <v>302</v>
      </c>
      <c r="B142" s="37" t="s">
        <v>220</v>
      </c>
      <c r="C142" s="25">
        <v>408</v>
      </c>
      <c r="D142" s="25">
        <v>40</v>
      </c>
      <c r="E142" s="25">
        <v>1817</v>
      </c>
      <c r="F142" s="30"/>
      <c r="G142" s="6"/>
      <c r="H142" s="122"/>
    </row>
    <row r="143" spans="1:8">
      <c r="A143" s="30" t="s">
        <v>303</v>
      </c>
      <c r="B143" s="37" t="s">
        <v>221</v>
      </c>
      <c r="C143" s="25"/>
      <c r="D143" s="25"/>
      <c r="E143" s="34">
        <v>63143</v>
      </c>
      <c r="F143" s="30"/>
      <c r="G143" s="6"/>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9288329</v>
      </c>
      <c r="D147" s="552"/>
      <c r="E147" s="552"/>
      <c r="F147" s="552"/>
      <c r="G147" s="552"/>
    </row>
    <row r="148" spans="1:9">
      <c r="A148" s="27" t="s">
        <v>169</v>
      </c>
      <c r="B148" s="10" t="s">
        <v>167</v>
      </c>
      <c r="C148" s="170">
        <v>5798168</v>
      </c>
      <c r="D148" s="552"/>
      <c r="E148" s="552"/>
      <c r="F148" s="552"/>
      <c r="G148" s="552"/>
    </row>
    <row r="149" spans="1:9">
      <c r="A149" s="27" t="s">
        <v>171</v>
      </c>
      <c r="B149" s="10" t="s">
        <v>168</v>
      </c>
      <c r="C149" s="170">
        <v>3490161</v>
      </c>
      <c r="D149" s="552"/>
      <c r="E149" s="552"/>
      <c r="F149" s="552"/>
      <c r="G149" s="552"/>
    </row>
    <row r="150" spans="1:9" ht="24.75">
      <c r="A150" s="38">
        <v>31</v>
      </c>
      <c r="B150" s="33" t="s">
        <v>305</v>
      </c>
      <c r="C150" s="9"/>
      <c r="D150" s="552"/>
      <c r="E150" s="552"/>
      <c r="F150" s="552"/>
      <c r="G150" s="552"/>
    </row>
    <row r="151" spans="1:9">
      <c r="A151" s="27" t="s">
        <v>137</v>
      </c>
      <c r="B151" s="10" t="s">
        <v>170</v>
      </c>
      <c r="C151" s="9" t="s">
        <v>380</v>
      </c>
      <c r="D151" s="552"/>
      <c r="E151" s="552"/>
      <c r="F151" s="552"/>
      <c r="G151" s="552"/>
    </row>
    <row r="152" spans="1:9">
      <c r="A152" s="27" t="s">
        <v>138</v>
      </c>
      <c r="B152" s="10" t="s">
        <v>172</v>
      </c>
      <c r="C152" s="170">
        <v>3390015</v>
      </c>
      <c r="D152" s="552"/>
      <c r="E152" s="552"/>
      <c r="F152" s="552"/>
      <c r="G152" s="552"/>
    </row>
    <row r="153" spans="1:9">
      <c r="A153" s="27"/>
      <c r="B153" s="10"/>
      <c r="C153" s="9"/>
      <c r="D153" s="552"/>
      <c r="E153" s="552"/>
      <c r="F153" s="552"/>
      <c r="G153" s="552"/>
    </row>
    <row r="154" spans="1:9">
      <c r="A154" s="30"/>
      <c r="B154" s="1404" t="s">
        <v>306</v>
      </c>
      <c r="C154" s="1404"/>
      <c r="D154" s="552"/>
      <c r="E154" s="552"/>
      <c r="F154" s="552"/>
      <c r="G154" s="552"/>
    </row>
    <row r="155" spans="1:9">
      <c r="A155" s="30">
        <v>32</v>
      </c>
      <c r="B155" s="26" t="s">
        <v>307</v>
      </c>
      <c r="C155" s="52">
        <f>SUM(C156,C157,C163)</f>
        <v>439682</v>
      </c>
      <c r="D155" s="52"/>
      <c r="E155" s="552"/>
      <c r="F155" s="552"/>
      <c r="G155" s="552"/>
    </row>
    <row r="156" spans="1:9">
      <c r="A156" s="25" t="s">
        <v>308</v>
      </c>
      <c r="B156" s="28" t="s">
        <v>69</v>
      </c>
      <c r="C156" s="25">
        <v>236788</v>
      </c>
      <c r="D156" s="25"/>
      <c r="E156" s="552"/>
      <c r="F156" s="552"/>
      <c r="G156" s="552"/>
    </row>
    <row r="157" spans="1:9">
      <c r="A157" s="27" t="s">
        <v>309</v>
      </c>
      <c r="B157" s="28" t="s">
        <v>70</v>
      </c>
      <c r="C157" s="25">
        <v>149704</v>
      </c>
      <c r="D157" s="25"/>
      <c r="E157" s="552"/>
      <c r="F157" s="552"/>
      <c r="G157" s="552"/>
    </row>
    <row r="158" spans="1:9">
      <c r="A158" s="30">
        <v>33</v>
      </c>
      <c r="B158" s="41" t="s">
        <v>71</v>
      </c>
      <c r="C158" s="651">
        <v>197207</v>
      </c>
      <c r="D158" s="651"/>
      <c r="E158" s="552"/>
      <c r="F158" s="552"/>
      <c r="G158" s="552"/>
    </row>
    <row r="159" spans="1:9">
      <c r="A159" s="30">
        <v>34</v>
      </c>
      <c r="B159" s="26" t="s">
        <v>310</v>
      </c>
      <c r="C159" s="52">
        <f>SUM(C160:C162)</f>
        <v>212174</v>
      </c>
      <c r="D159" s="52"/>
      <c r="E159" s="552"/>
      <c r="F159" s="552"/>
      <c r="G159" s="552"/>
    </row>
    <row r="160" spans="1:9">
      <c r="A160" s="25" t="s">
        <v>173</v>
      </c>
      <c r="B160" s="28" t="s">
        <v>72</v>
      </c>
      <c r="C160" s="25">
        <v>0</v>
      </c>
      <c r="D160" s="25"/>
      <c r="E160" s="552"/>
      <c r="F160" s="552"/>
      <c r="G160" s="552"/>
    </row>
    <row r="161" spans="1:7">
      <c r="A161" s="27" t="s">
        <v>175</v>
      </c>
      <c r="B161" s="28" t="s">
        <v>73</v>
      </c>
      <c r="C161" s="25">
        <v>109138</v>
      </c>
      <c r="D161" s="25"/>
      <c r="E161" s="552"/>
      <c r="F161" s="552"/>
      <c r="G161" s="552"/>
    </row>
    <row r="162" spans="1:7">
      <c r="A162" s="27" t="s">
        <v>177</v>
      </c>
      <c r="B162" s="28" t="s">
        <v>214</v>
      </c>
      <c r="C162" s="25">
        <v>103036</v>
      </c>
      <c r="D162" s="25"/>
      <c r="E162" s="552"/>
      <c r="F162" s="552"/>
      <c r="G162" s="552"/>
    </row>
    <row r="163" spans="1:7">
      <c r="A163" s="23">
        <v>35</v>
      </c>
      <c r="B163" s="26" t="s">
        <v>311</v>
      </c>
      <c r="C163" s="52">
        <f>SUM(C164:C166)</f>
        <v>53190</v>
      </c>
      <c r="D163" s="52"/>
      <c r="E163" s="552"/>
      <c r="F163" s="552"/>
      <c r="G163" s="552"/>
    </row>
    <row r="164" spans="1:7">
      <c r="A164" s="39" t="s">
        <v>312</v>
      </c>
      <c r="B164" s="41" t="s">
        <v>174</v>
      </c>
      <c r="C164" s="25">
        <v>10986</v>
      </c>
      <c r="D164" s="25"/>
      <c r="E164" s="552"/>
      <c r="F164" s="552"/>
      <c r="G164" s="552"/>
    </row>
    <row r="165" spans="1:7">
      <c r="A165" s="27" t="s">
        <v>313</v>
      </c>
      <c r="B165" s="41" t="s">
        <v>176</v>
      </c>
      <c r="C165" s="25">
        <v>42204</v>
      </c>
      <c r="D165" s="25"/>
      <c r="E165" s="552"/>
      <c r="F165" s="552"/>
      <c r="G165" s="552"/>
    </row>
    <row r="166" spans="1:7">
      <c r="A166" s="27" t="s">
        <v>314</v>
      </c>
      <c r="B166" s="41" t="s">
        <v>178</v>
      </c>
      <c r="C166" s="25">
        <v>0</v>
      </c>
      <c r="D166" s="25"/>
      <c r="E166" s="552"/>
      <c r="F166" s="552"/>
      <c r="G166" s="552"/>
    </row>
    <row r="168" spans="1:7">
      <c r="A168" s="23"/>
      <c r="B168" s="42" t="s">
        <v>87</v>
      </c>
      <c r="C168" s="652"/>
      <c r="D168" s="652"/>
      <c r="E168" s="652"/>
      <c r="F168" s="9"/>
      <c r="G168" s="552"/>
    </row>
    <row r="169" spans="1:7">
      <c r="A169" s="23">
        <v>36</v>
      </c>
      <c r="B169" s="41" t="s">
        <v>74</v>
      </c>
      <c r="C169" s="653">
        <v>3245</v>
      </c>
      <c r="D169" s="25"/>
      <c r="E169" s="25"/>
      <c r="F169" s="25"/>
      <c r="G169" s="552"/>
    </row>
    <row r="170" spans="1:7">
      <c r="A170" s="23">
        <v>37</v>
      </c>
      <c r="B170" s="41" t="s">
        <v>75</v>
      </c>
      <c r="C170" s="653">
        <v>5015</v>
      </c>
      <c r="D170" s="25"/>
      <c r="E170" s="25"/>
      <c r="F170" s="25"/>
      <c r="G170" s="552"/>
    </row>
    <row r="171" spans="1:7">
      <c r="A171" s="23">
        <v>38</v>
      </c>
      <c r="B171" s="26" t="s">
        <v>315</v>
      </c>
      <c r="C171" s="653">
        <f>SUM(C172:C174)</f>
        <v>8260</v>
      </c>
      <c r="D171" s="652"/>
      <c r="E171" s="652"/>
      <c r="F171" s="652"/>
      <c r="G171" s="652"/>
    </row>
    <row r="172" spans="1:7">
      <c r="A172" s="39" t="s">
        <v>118</v>
      </c>
      <c r="B172" s="28" t="s">
        <v>208</v>
      </c>
      <c r="C172" s="653">
        <v>3906</v>
      </c>
      <c r="D172" s="25"/>
      <c r="E172" s="25"/>
      <c r="F172" s="25"/>
      <c r="G172" s="552"/>
    </row>
    <row r="173" spans="1:7">
      <c r="A173" s="39" t="s">
        <v>119</v>
      </c>
      <c r="B173" s="28" t="s">
        <v>209</v>
      </c>
      <c r="C173" s="653">
        <v>543</v>
      </c>
      <c r="D173" s="25"/>
      <c r="E173" s="25"/>
      <c r="F173" s="25"/>
      <c r="G173" s="552"/>
    </row>
    <row r="174" spans="1:7">
      <c r="A174" s="27" t="s">
        <v>120</v>
      </c>
      <c r="B174" s="28" t="s">
        <v>210</v>
      </c>
      <c r="C174" s="653">
        <v>3811</v>
      </c>
      <c r="D174" s="25"/>
      <c r="E174" s="25"/>
      <c r="F174" s="25"/>
      <c r="G174" s="552"/>
    </row>
    <row r="175" spans="1:7">
      <c r="A175" s="23">
        <v>39</v>
      </c>
      <c r="B175" s="26" t="s">
        <v>316</v>
      </c>
      <c r="C175" s="653">
        <f>SUM(C176:C178)</f>
        <v>18493</v>
      </c>
      <c r="D175" s="25"/>
      <c r="E175" s="25"/>
      <c r="F175" s="25"/>
      <c r="G175" s="552"/>
    </row>
    <row r="176" spans="1:7">
      <c r="A176" s="39" t="s">
        <v>317</v>
      </c>
      <c r="B176" s="28" t="s">
        <v>76</v>
      </c>
      <c r="C176" s="653">
        <v>4753</v>
      </c>
      <c r="D176" s="25"/>
      <c r="E176" s="25"/>
      <c r="F176" s="25"/>
      <c r="G176" s="552"/>
    </row>
    <row r="177" spans="1:7">
      <c r="A177" s="39" t="s">
        <v>318</v>
      </c>
      <c r="B177" s="28" t="s">
        <v>77</v>
      </c>
      <c r="C177" s="653">
        <v>8</v>
      </c>
      <c r="D177" s="25"/>
      <c r="E177" s="25"/>
      <c r="F177" s="25"/>
      <c r="G177" s="552"/>
    </row>
    <row r="178" spans="1:7">
      <c r="A178" s="27" t="s">
        <v>319</v>
      </c>
      <c r="B178" s="28" t="s">
        <v>78</v>
      </c>
      <c r="C178" s="653">
        <v>13732</v>
      </c>
      <c r="D178" s="25"/>
      <c r="E178" s="25"/>
      <c r="F178" s="25"/>
      <c r="G178" s="552"/>
    </row>
    <row r="179" spans="1:7">
      <c r="A179" s="654"/>
      <c r="B179" s="655"/>
      <c r="C179" s="656"/>
      <c r="D179" s="134"/>
      <c r="E179" s="46"/>
      <c r="F179" s="46"/>
      <c r="G179" s="135"/>
    </row>
    <row r="180" spans="1:7" ht="25.5">
      <c r="A180" s="657"/>
      <c r="B180" s="658" t="s">
        <v>88</v>
      </c>
      <c r="C180" s="656"/>
      <c r="D180" s="134"/>
      <c r="E180" s="46"/>
      <c r="F180" s="46"/>
      <c r="G180" s="135"/>
    </row>
    <row r="181" spans="1:7">
      <c r="A181" s="23">
        <v>40</v>
      </c>
      <c r="B181" s="41" t="s">
        <v>74</v>
      </c>
      <c r="C181" s="653">
        <v>1425</v>
      </c>
      <c r="D181" s="25"/>
      <c r="E181" s="25"/>
      <c r="F181" s="25"/>
      <c r="G181" s="552"/>
    </row>
    <row r="182" spans="1:7">
      <c r="A182" s="23">
        <v>41</v>
      </c>
      <c r="B182" s="41" t="s">
        <v>75</v>
      </c>
      <c r="C182" s="653">
        <v>11976</v>
      </c>
      <c r="D182" s="25"/>
      <c r="E182" s="25"/>
      <c r="F182" s="25"/>
      <c r="G182" s="552"/>
    </row>
    <row r="183" spans="1:7">
      <c r="A183" s="23">
        <v>42</v>
      </c>
      <c r="B183" s="26" t="s">
        <v>320</v>
      </c>
      <c r="C183" s="653">
        <v>13401</v>
      </c>
      <c r="D183" s="25"/>
      <c r="E183" s="25"/>
      <c r="F183" s="25"/>
      <c r="G183" s="552"/>
    </row>
    <row r="184" spans="1:7">
      <c r="A184" s="39" t="s">
        <v>96</v>
      </c>
      <c r="B184" s="28" t="s">
        <v>211</v>
      </c>
      <c r="C184" s="653">
        <v>1266</v>
      </c>
      <c r="D184" s="25"/>
      <c r="E184" s="25"/>
      <c r="F184" s="25"/>
      <c r="G184" s="552"/>
    </row>
    <row r="185" spans="1:7">
      <c r="A185" s="39" t="s">
        <v>97</v>
      </c>
      <c r="B185" s="28" t="s">
        <v>212</v>
      </c>
      <c r="C185" s="653">
        <v>201</v>
      </c>
      <c r="D185" s="25"/>
      <c r="E185" s="25"/>
      <c r="F185" s="25"/>
      <c r="G185" s="552"/>
    </row>
    <row r="186" spans="1:7">
      <c r="A186" s="27" t="s">
        <v>98</v>
      </c>
      <c r="B186" s="28" t="s">
        <v>213</v>
      </c>
      <c r="C186" s="653">
        <v>11934</v>
      </c>
      <c r="D186" s="25"/>
      <c r="E186" s="25"/>
      <c r="F186" s="25"/>
      <c r="G186" s="552"/>
    </row>
    <row r="187" spans="1:7">
      <c r="A187" s="23">
        <v>43</v>
      </c>
      <c r="B187" s="26" t="s">
        <v>321</v>
      </c>
      <c r="C187" s="653">
        <v>12602</v>
      </c>
      <c r="D187" s="25"/>
      <c r="E187" s="25"/>
      <c r="F187" s="25"/>
      <c r="G187" s="552"/>
    </row>
    <row r="188" spans="1:7">
      <c r="A188" s="39" t="s">
        <v>100</v>
      </c>
      <c r="B188" s="28" t="s">
        <v>76</v>
      </c>
      <c r="C188" s="653">
        <v>4428</v>
      </c>
      <c r="D188" s="25"/>
      <c r="E188" s="25"/>
      <c r="F188" s="25"/>
      <c r="G188" s="552"/>
    </row>
    <row r="189" spans="1:7">
      <c r="A189" s="39" t="s">
        <v>101</v>
      </c>
      <c r="B189" s="28" t="s">
        <v>77</v>
      </c>
      <c r="C189" s="653">
        <v>101</v>
      </c>
      <c r="D189" s="25"/>
      <c r="E189" s="25"/>
      <c r="F189" s="25"/>
      <c r="G189" s="552"/>
    </row>
    <row r="190" spans="1:7">
      <c r="A190" s="25" t="s">
        <v>102</v>
      </c>
      <c r="B190" s="13" t="s">
        <v>78</v>
      </c>
      <c r="C190" s="653">
        <v>8073</v>
      </c>
      <c r="D190" s="25"/>
      <c r="E190" s="25"/>
      <c r="F190" s="25"/>
      <c r="G190" s="552"/>
    </row>
    <row r="191" spans="1:7">
      <c r="A191" s="552"/>
      <c r="B191" s="552"/>
      <c r="C191" s="552"/>
      <c r="D191" s="552"/>
      <c r="E191" s="552"/>
      <c r="F191" s="552"/>
      <c r="G191" s="552"/>
    </row>
    <row r="192" spans="1:7">
      <c r="A192" s="25"/>
      <c r="B192" s="6" t="s">
        <v>322</v>
      </c>
      <c r="C192" s="25" t="s">
        <v>90</v>
      </c>
      <c r="D192" s="1203" t="s">
        <v>81</v>
      </c>
      <c r="E192" s="1203"/>
      <c r="F192" s="9"/>
      <c r="G192" s="552"/>
    </row>
    <row r="193" spans="1:7">
      <c r="A193" s="25"/>
      <c r="B193" s="10"/>
      <c r="C193" s="25"/>
      <c r="D193" s="43" t="s">
        <v>82</v>
      </c>
      <c r="E193" s="43" t="s">
        <v>83</v>
      </c>
      <c r="F193" s="43"/>
      <c r="G193" s="552"/>
    </row>
    <row r="194" spans="1:7">
      <c r="A194" s="30">
        <v>44</v>
      </c>
      <c r="B194" s="6" t="s">
        <v>323</v>
      </c>
      <c r="C194" s="52">
        <f>SUM(C195:C197)</f>
        <v>543</v>
      </c>
      <c r="D194" s="52">
        <f>SUM(D195:D197)</f>
        <v>0</v>
      </c>
      <c r="E194">
        <v>0</v>
      </c>
      <c r="F194" s="52"/>
      <c r="G194" s="552"/>
    </row>
    <row r="195" spans="1:7">
      <c r="A195" s="25" t="s">
        <v>121</v>
      </c>
      <c r="B195" s="13" t="s">
        <v>181</v>
      </c>
      <c r="C195" s="25">
        <v>543</v>
      </c>
      <c r="D195" s="25">
        <v>0</v>
      </c>
      <c r="E195" s="52">
        <v>41</v>
      </c>
      <c r="F195" s="25"/>
      <c r="G195" s="552"/>
    </row>
    <row r="196" spans="1:7">
      <c r="A196" s="25" t="s">
        <v>122</v>
      </c>
      <c r="B196" s="13" t="s">
        <v>182</v>
      </c>
      <c r="C196" s="25">
        <v>0</v>
      </c>
      <c r="D196" s="25">
        <v>0</v>
      </c>
      <c r="E196" s="25">
        <v>0</v>
      </c>
      <c r="F196" s="25"/>
      <c r="G196" s="552"/>
    </row>
    <row r="197" spans="1:7">
      <c r="A197" s="27" t="s">
        <v>123</v>
      </c>
      <c r="B197" s="13" t="s">
        <v>180</v>
      </c>
      <c r="C197" s="25" t="s">
        <v>380</v>
      </c>
      <c r="D197" s="25">
        <v>0</v>
      </c>
      <c r="E197" s="25">
        <v>0</v>
      </c>
      <c r="F197" s="25"/>
      <c r="G197" s="552"/>
    </row>
    <row r="198" spans="1:7">
      <c r="A198" s="30">
        <v>45</v>
      </c>
      <c r="B198" s="6" t="s">
        <v>324</v>
      </c>
      <c r="C198" s="52">
        <f>SUM(C199:C201)</f>
        <v>12843</v>
      </c>
      <c r="D198" s="52">
        <f>SUM(D199:D201)</f>
        <v>0</v>
      </c>
      <c r="E198" s="52">
        <f>SUM(E199:E201)</f>
        <v>15294</v>
      </c>
      <c r="F198" s="52"/>
      <c r="G198" s="552"/>
    </row>
    <row r="199" spans="1:7">
      <c r="A199" s="25" t="s">
        <v>325</v>
      </c>
      <c r="B199" s="13" t="s">
        <v>80</v>
      </c>
      <c r="C199" s="25">
        <v>12843</v>
      </c>
      <c r="D199" s="25">
        <v>0</v>
      </c>
      <c r="E199" s="34">
        <v>15294</v>
      </c>
      <c r="F199" s="25"/>
      <c r="G199" s="552"/>
    </row>
    <row r="200" spans="1:7">
      <c r="A200" s="25" t="s">
        <v>326</v>
      </c>
      <c r="B200" s="13" t="s">
        <v>60</v>
      </c>
      <c r="C200" s="25">
        <v>0</v>
      </c>
      <c r="D200" s="25">
        <v>0</v>
      </c>
      <c r="E200" s="25">
        <v>0</v>
      </c>
      <c r="F200" s="25"/>
      <c r="G200" s="552"/>
    </row>
    <row r="201" spans="1:7">
      <c r="A201" s="27" t="s">
        <v>327</v>
      </c>
      <c r="B201" s="13" t="s">
        <v>180</v>
      </c>
      <c r="C201" s="25" t="s">
        <v>380</v>
      </c>
      <c r="D201" s="25">
        <v>0</v>
      </c>
      <c r="E201" s="25">
        <v>0</v>
      </c>
      <c r="F201" s="25"/>
      <c r="G201" s="552"/>
    </row>
    <row r="202" spans="1:7">
      <c r="A202" s="27"/>
      <c r="B202" s="13"/>
      <c r="C202" s="25"/>
      <c r="D202" s="25"/>
      <c r="E202" s="25"/>
      <c r="F202" s="25"/>
      <c r="G202" s="552"/>
    </row>
    <row r="203" spans="1:7">
      <c r="A203" s="30">
        <v>46</v>
      </c>
      <c r="B203" s="10" t="s">
        <v>203</v>
      </c>
      <c r="C203" s="25">
        <v>0</v>
      </c>
      <c r="D203" s="25">
        <v>0</v>
      </c>
      <c r="E203" s="25">
        <v>0</v>
      </c>
      <c r="F203" s="25"/>
      <c r="G203" s="552"/>
    </row>
    <row r="204" spans="1:7">
      <c r="A204" s="30">
        <v>47</v>
      </c>
      <c r="B204" s="49" t="s">
        <v>204</v>
      </c>
      <c r="C204" s="25">
        <v>0</v>
      </c>
      <c r="D204" s="25">
        <v>0</v>
      </c>
      <c r="E204" s="25">
        <v>0</v>
      </c>
      <c r="F204" s="25"/>
      <c r="G204" s="552"/>
    </row>
    <row r="205" spans="1:7">
      <c r="A205" s="30">
        <v>48</v>
      </c>
      <c r="B205" s="10" t="s">
        <v>179</v>
      </c>
      <c r="C205" s="25">
        <v>66</v>
      </c>
      <c r="D205" s="25">
        <v>0</v>
      </c>
      <c r="E205" s="25">
        <v>0</v>
      </c>
      <c r="F205" s="25"/>
      <c r="G205" s="552"/>
    </row>
    <row r="206" spans="1:7">
      <c r="A206" s="30">
        <v>49</v>
      </c>
      <c r="B206" s="10" t="s">
        <v>61</v>
      </c>
      <c r="C206" s="25">
        <v>1794</v>
      </c>
      <c r="D206" s="25">
        <v>0</v>
      </c>
      <c r="E206" s="25">
        <v>0</v>
      </c>
      <c r="F206" s="25"/>
      <c r="G206" s="552"/>
    </row>
    <row r="207" spans="1:7">
      <c r="A207" s="659">
        <v>50</v>
      </c>
      <c r="B207" s="263" t="s">
        <v>202</v>
      </c>
      <c r="C207" s="251">
        <v>14</v>
      </c>
      <c r="D207" s="254"/>
      <c r="E207" s="254"/>
      <c r="F207" s="30"/>
      <c r="G207" s="552"/>
    </row>
    <row r="208" spans="1:7">
      <c r="A208" s="47"/>
      <c r="B208" s="151"/>
      <c r="C208" s="47"/>
      <c r="D208" s="47"/>
      <c r="E208" s="47"/>
      <c r="F208" s="47"/>
    </row>
    <row r="209" spans="1:7">
      <c r="A209" s="660"/>
      <c r="B209" s="661" t="s">
        <v>364</v>
      </c>
      <c r="C209" s="660"/>
      <c r="D209" s="660"/>
      <c r="E209" s="660"/>
      <c r="F209" s="660"/>
      <c r="G209" s="662"/>
    </row>
    <row r="210" spans="1:7">
      <c r="A210" s="663" t="s">
        <v>86</v>
      </c>
      <c r="B210" s="663" t="s">
        <v>8</v>
      </c>
      <c r="C210" s="664" t="s">
        <v>50</v>
      </c>
      <c r="D210" s="664" t="s">
        <v>51</v>
      </c>
      <c r="E210" s="664" t="s">
        <v>110</v>
      </c>
      <c r="F210" s="660"/>
      <c r="G210" s="662"/>
    </row>
    <row r="211" spans="1:7" s="1" customFormat="1">
      <c r="A211" s="665">
        <v>51</v>
      </c>
      <c r="B211" s="661" t="s">
        <v>328</v>
      </c>
      <c r="C211" s="666">
        <v>0</v>
      </c>
      <c r="D211" s="666">
        <v>0</v>
      </c>
      <c r="E211" s="664">
        <v>379</v>
      </c>
      <c r="F211" s="667"/>
      <c r="G211" s="667"/>
    </row>
    <row r="212" spans="1:7" s="1" customFormat="1">
      <c r="A212" s="668" t="s">
        <v>329</v>
      </c>
      <c r="B212" s="669" t="s">
        <v>226</v>
      </c>
      <c r="C212" s="664">
        <v>0</v>
      </c>
      <c r="D212" s="664">
        <v>0</v>
      </c>
      <c r="E212" s="664">
        <v>253</v>
      </c>
      <c r="F212" s="667"/>
      <c r="G212" s="667"/>
    </row>
    <row r="213" spans="1:7" s="1" customFormat="1">
      <c r="A213" s="668" t="s">
        <v>330</v>
      </c>
      <c r="B213" s="670" t="s">
        <v>128</v>
      </c>
      <c r="C213" s="664" t="s">
        <v>380</v>
      </c>
      <c r="D213" s="664" t="s">
        <v>380</v>
      </c>
      <c r="E213" s="664" t="s">
        <v>380</v>
      </c>
      <c r="F213" s="667"/>
      <c r="G213" s="667"/>
    </row>
    <row r="214" spans="1:7" s="1" customFormat="1">
      <c r="A214" s="668" t="s">
        <v>331</v>
      </c>
      <c r="B214" s="669" t="s">
        <v>227</v>
      </c>
      <c r="C214" s="664">
        <v>0</v>
      </c>
      <c r="D214" s="664">
        <v>0</v>
      </c>
      <c r="E214" s="664">
        <v>96</v>
      </c>
      <c r="F214" s="667"/>
      <c r="G214" s="667"/>
    </row>
    <row r="215" spans="1:7" s="1" customFormat="1">
      <c r="A215" s="668" t="s">
        <v>332</v>
      </c>
      <c r="B215" s="670" t="s">
        <v>130</v>
      </c>
      <c r="C215" s="664" t="s">
        <v>380</v>
      </c>
      <c r="D215" s="664" t="s">
        <v>380</v>
      </c>
      <c r="E215" s="664" t="s">
        <v>380</v>
      </c>
      <c r="F215" s="667"/>
      <c r="G215" s="667"/>
    </row>
    <row r="216" spans="1:7" s="1" customFormat="1">
      <c r="A216" s="668" t="s">
        <v>333</v>
      </c>
      <c r="B216" s="669" t="s">
        <v>232</v>
      </c>
      <c r="C216" s="664">
        <v>0</v>
      </c>
      <c r="D216" s="664">
        <v>0</v>
      </c>
      <c r="E216" s="664">
        <v>6</v>
      </c>
      <c r="F216" s="667"/>
      <c r="G216" s="667"/>
    </row>
    <row r="217" spans="1:7" s="1" customFormat="1">
      <c r="A217" s="668" t="s">
        <v>334</v>
      </c>
      <c r="B217" s="670" t="s">
        <v>131</v>
      </c>
      <c r="C217" s="664" t="s">
        <v>380</v>
      </c>
      <c r="D217" s="664" t="s">
        <v>380</v>
      </c>
      <c r="E217" s="664" t="s">
        <v>380</v>
      </c>
      <c r="F217" s="667"/>
      <c r="G217" s="667"/>
    </row>
    <row r="218" spans="1:7" s="1" customFormat="1">
      <c r="A218" s="668" t="s">
        <v>335</v>
      </c>
      <c r="B218" s="669" t="s">
        <v>233</v>
      </c>
      <c r="C218" s="664">
        <v>0</v>
      </c>
      <c r="D218" s="664">
        <v>0</v>
      </c>
      <c r="E218" s="664">
        <v>8</v>
      </c>
      <c r="F218" s="667"/>
      <c r="G218" s="667"/>
    </row>
    <row r="219" spans="1:7" s="1" customFormat="1">
      <c r="A219" s="668" t="s">
        <v>336</v>
      </c>
      <c r="B219" s="670" t="s">
        <v>132</v>
      </c>
      <c r="C219" s="664" t="s">
        <v>380</v>
      </c>
      <c r="D219" s="664" t="s">
        <v>380</v>
      </c>
      <c r="E219" s="664" t="s">
        <v>380</v>
      </c>
      <c r="F219" s="667"/>
      <c r="G219" s="667"/>
    </row>
    <row r="220" spans="1:7" s="1" customFormat="1">
      <c r="A220" s="668" t="s">
        <v>337</v>
      </c>
      <c r="B220" s="669" t="s">
        <v>234</v>
      </c>
      <c r="C220" s="664">
        <v>0</v>
      </c>
      <c r="D220" s="664">
        <v>0</v>
      </c>
      <c r="E220" s="664">
        <v>13</v>
      </c>
      <c r="F220" s="667"/>
      <c r="G220" s="667"/>
    </row>
    <row r="221" spans="1:7" s="1" customFormat="1">
      <c r="A221" s="668" t="s">
        <v>338</v>
      </c>
      <c r="B221" s="670" t="s">
        <v>133</v>
      </c>
      <c r="C221" s="664" t="s">
        <v>380</v>
      </c>
      <c r="D221" s="664" t="s">
        <v>380</v>
      </c>
      <c r="E221" s="664" t="s">
        <v>380</v>
      </c>
      <c r="F221" s="667"/>
      <c r="G221" s="667"/>
    </row>
    <row r="222" spans="1:7" s="1" customFormat="1">
      <c r="A222" s="668" t="s">
        <v>339</v>
      </c>
      <c r="B222" s="669" t="s">
        <v>235</v>
      </c>
      <c r="C222" s="664">
        <v>0</v>
      </c>
      <c r="D222" s="664">
        <v>0</v>
      </c>
      <c r="E222" s="664">
        <v>0</v>
      </c>
      <c r="F222" s="667"/>
      <c r="G222" s="667"/>
    </row>
    <row r="223" spans="1:7" s="1" customFormat="1">
      <c r="A223" s="668" t="s">
        <v>340</v>
      </c>
      <c r="B223" s="670" t="s">
        <v>134</v>
      </c>
      <c r="C223" s="664" t="s">
        <v>380</v>
      </c>
      <c r="D223" s="664" t="s">
        <v>380</v>
      </c>
      <c r="E223" s="664" t="s">
        <v>380</v>
      </c>
      <c r="F223" s="667"/>
      <c r="G223" s="667"/>
    </row>
    <row r="224" spans="1:7" s="1" customFormat="1">
      <c r="A224" s="668" t="s">
        <v>341</v>
      </c>
      <c r="B224" s="669" t="s">
        <v>236</v>
      </c>
      <c r="C224" s="664">
        <v>0</v>
      </c>
      <c r="D224" s="664">
        <v>0</v>
      </c>
      <c r="E224" s="664">
        <v>0</v>
      </c>
      <c r="F224" s="667"/>
      <c r="G224" s="667"/>
    </row>
    <row r="225" spans="1:8" s="1" customFormat="1">
      <c r="A225" s="668" t="s">
        <v>342</v>
      </c>
      <c r="B225" s="670" t="s">
        <v>135</v>
      </c>
      <c r="C225" s="664" t="s">
        <v>380</v>
      </c>
      <c r="D225" s="664" t="s">
        <v>380</v>
      </c>
      <c r="E225" s="664" t="s">
        <v>380</v>
      </c>
      <c r="F225" s="667"/>
      <c r="G225" s="667"/>
    </row>
    <row r="226" spans="1:8" s="1" customFormat="1">
      <c r="A226" s="668" t="s">
        <v>343</v>
      </c>
      <c r="B226" s="669" t="s">
        <v>237</v>
      </c>
      <c r="C226" s="664">
        <v>0</v>
      </c>
      <c r="D226" s="664">
        <v>0</v>
      </c>
      <c r="E226" s="664">
        <v>3</v>
      </c>
      <c r="F226" s="667"/>
      <c r="G226" s="667"/>
    </row>
    <row r="227" spans="1:8" s="1" customFormat="1" ht="25.5">
      <c r="A227" s="668" t="s">
        <v>344</v>
      </c>
      <c r="B227" s="671" t="s">
        <v>136</v>
      </c>
      <c r="C227" s="664" t="s">
        <v>380</v>
      </c>
      <c r="D227" s="664" t="s">
        <v>380</v>
      </c>
      <c r="E227" s="664" t="s">
        <v>380</v>
      </c>
      <c r="F227" s="667"/>
      <c r="G227" s="667"/>
    </row>
    <row r="228" spans="1:8">
      <c r="A228" s="47"/>
      <c r="B228" s="151"/>
      <c r="C228" s="47"/>
      <c r="D228" s="47"/>
      <c r="E228" s="47"/>
      <c r="F228" s="47"/>
    </row>
    <row r="229" spans="1:8">
      <c r="A229" s="660"/>
      <c r="B229" s="672" t="s">
        <v>345</v>
      </c>
      <c r="C229" s="670"/>
      <c r="D229" s="672"/>
      <c r="E229" s="672"/>
      <c r="F229" s="672"/>
      <c r="G229" s="662"/>
    </row>
    <row r="230" spans="1:8" ht="25.5">
      <c r="A230" s="668" t="s">
        <v>346</v>
      </c>
      <c r="B230" s="673" t="s">
        <v>238</v>
      </c>
      <c r="C230" s="674">
        <v>60301</v>
      </c>
      <c r="D230" s="660"/>
      <c r="E230" s="660"/>
      <c r="F230" s="660"/>
      <c r="G230" s="662"/>
    </row>
    <row r="231" spans="1:8">
      <c r="A231" s="668" t="s">
        <v>347</v>
      </c>
      <c r="B231" s="671" t="s">
        <v>115</v>
      </c>
      <c r="C231" s="663" t="s">
        <v>380</v>
      </c>
      <c r="D231" s="660"/>
      <c r="E231" s="660"/>
      <c r="F231" s="660"/>
      <c r="G231" s="662"/>
    </row>
    <row r="232" spans="1:8" ht="25.5">
      <c r="A232" s="668" t="s">
        <v>348</v>
      </c>
      <c r="B232" s="673" t="s">
        <v>239</v>
      </c>
      <c r="C232" s="663">
        <v>1592</v>
      </c>
      <c r="D232" s="660"/>
      <c r="E232" s="660"/>
      <c r="F232" s="660"/>
      <c r="G232" s="662"/>
    </row>
    <row r="233" spans="1:8">
      <c r="A233" s="668" t="s">
        <v>349</v>
      </c>
      <c r="B233" s="671" t="s">
        <v>116</v>
      </c>
      <c r="C233" s="663" t="s">
        <v>380</v>
      </c>
      <c r="D233" s="660"/>
      <c r="E233" s="660"/>
      <c r="F233" s="660"/>
      <c r="G233" s="662"/>
    </row>
    <row r="234" spans="1:8" ht="25.5">
      <c r="A234" s="668" t="s">
        <v>350</v>
      </c>
      <c r="B234" s="673" t="s">
        <v>240</v>
      </c>
      <c r="C234" s="663">
        <v>856</v>
      </c>
      <c r="D234" s="660"/>
      <c r="E234" s="660"/>
      <c r="F234" s="660"/>
      <c r="G234" s="662"/>
    </row>
    <row r="235" spans="1:8">
      <c r="A235" s="668" t="s">
        <v>351</v>
      </c>
      <c r="B235" s="671" t="s">
        <v>117</v>
      </c>
      <c r="C235" s="663" t="s">
        <v>380</v>
      </c>
      <c r="D235" s="660"/>
      <c r="E235" s="660"/>
      <c r="F235" s="660"/>
      <c r="G235" s="662"/>
    </row>
    <row r="236" spans="1:8">
      <c r="A236" s="675"/>
      <c r="B236" s="676"/>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84</v>
      </c>
      <c r="D239" s="25"/>
      <c r="E239" s="40"/>
      <c r="F239" s="40"/>
      <c r="G239" s="10"/>
      <c r="H239" s="3"/>
    </row>
    <row r="240" spans="1:8">
      <c r="A240" s="30">
        <v>53</v>
      </c>
      <c r="B240" s="10" t="s">
        <v>63</v>
      </c>
      <c r="C240" s="25">
        <v>66429</v>
      </c>
      <c r="D240" s="25"/>
      <c r="E240" s="40"/>
      <c r="F240" s="40"/>
      <c r="G240" s="10"/>
      <c r="H240" s="3"/>
    </row>
    <row r="241" spans="1:10">
      <c r="A241" s="30">
        <v>54</v>
      </c>
      <c r="B241" s="10" t="s">
        <v>215</v>
      </c>
      <c r="C241" s="25">
        <v>89</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1935</v>
      </c>
      <c r="D245" s="52">
        <f>SUM(D246:D251)</f>
        <v>2556</v>
      </c>
      <c r="E245" s="54">
        <f>SUM(E246:E251)</f>
        <v>371</v>
      </c>
      <c r="F245" s="54">
        <f>SUM(F246:F251)</f>
        <v>220</v>
      </c>
      <c r="G245" s="52">
        <f>SUM(C245:F245)</f>
        <v>5082</v>
      </c>
      <c r="H245" s="145"/>
    </row>
    <row r="246" spans="1:10">
      <c r="A246" s="25" t="s">
        <v>353</v>
      </c>
      <c r="B246" s="13" t="s">
        <v>64</v>
      </c>
      <c r="C246" s="637">
        <v>96</v>
      </c>
      <c r="D246" s="637">
        <v>119</v>
      </c>
      <c r="E246" s="585">
        <v>109</v>
      </c>
      <c r="F246" s="585">
        <v>84</v>
      </c>
      <c r="G246" s="613">
        <v>408</v>
      </c>
      <c r="H246" s="3"/>
      <c r="J246" s="25"/>
    </row>
    <row r="247" spans="1:10">
      <c r="A247" s="27" t="s">
        <v>354</v>
      </c>
      <c r="B247" s="13" t="s">
        <v>65</v>
      </c>
      <c r="C247" s="637">
        <v>0</v>
      </c>
      <c r="D247" s="637">
        <v>0</v>
      </c>
      <c r="E247" s="585">
        <v>0</v>
      </c>
      <c r="F247" s="585">
        <v>0</v>
      </c>
      <c r="G247" s="613">
        <v>0</v>
      </c>
      <c r="H247" s="3"/>
    </row>
    <row r="248" spans="1:10">
      <c r="A248" s="27" t="s">
        <v>355</v>
      </c>
      <c r="B248" s="13" t="s">
        <v>66</v>
      </c>
      <c r="C248" s="637">
        <v>5</v>
      </c>
      <c r="D248" s="637">
        <v>16</v>
      </c>
      <c r="E248" s="585">
        <v>48</v>
      </c>
      <c r="F248" s="585">
        <v>76</v>
      </c>
      <c r="G248" s="613">
        <v>145</v>
      </c>
      <c r="H248" s="3"/>
    </row>
    <row r="249" spans="1:10">
      <c r="A249" s="27" t="s">
        <v>356</v>
      </c>
      <c r="B249" s="13" t="s">
        <v>67</v>
      </c>
      <c r="C249" s="637">
        <v>7</v>
      </c>
      <c r="D249" s="637">
        <v>11</v>
      </c>
      <c r="E249" s="585">
        <v>20</v>
      </c>
      <c r="F249" s="585">
        <v>29</v>
      </c>
      <c r="G249" s="613">
        <v>67</v>
      </c>
      <c r="H249" s="3"/>
    </row>
    <row r="250" spans="1:10">
      <c r="A250" s="25" t="s">
        <v>357</v>
      </c>
      <c r="B250" s="13" t="s">
        <v>68</v>
      </c>
      <c r="C250" s="637">
        <v>6</v>
      </c>
      <c r="D250" s="637">
        <v>12</v>
      </c>
      <c r="E250" s="585">
        <v>21</v>
      </c>
      <c r="F250" s="585">
        <v>14</v>
      </c>
      <c r="G250" s="613">
        <v>53</v>
      </c>
      <c r="H250" s="3"/>
    </row>
    <row r="251" spans="1:10" ht="24.75">
      <c r="A251" s="27" t="s">
        <v>358</v>
      </c>
      <c r="B251" s="155" t="s">
        <v>183</v>
      </c>
      <c r="C251" s="25">
        <v>1821</v>
      </c>
      <c r="D251" s="25">
        <v>2398</v>
      </c>
      <c r="E251" s="40">
        <v>173</v>
      </c>
      <c r="F251" s="40">
        <v>17</v>
      </c>
      <c r="G251" s="10">
        <f>SUM(C251:F251)</f>
        <v>4409</v>
      </c>
      <c r="H251" s="3"/>
    </row>
    <row r="252" spans="1:10" ht="15">
      <c r="B252" s="161"/>
    </row>
  </sheetData>
  <mergeCells count="73">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86:E86"/>
    <mergeCell ref="D87:E87"/>
    <mergeCell ref="D88:E88"/>
    <mergeCell ref="A99:G99"/>
    <mergeCell ref="A101:A102"/>
    <mergeCell ref="B101:B102"/>
    <mergeCell ref="C101:E102"/>
    <mergeCell ref="G101:G102"/>
    <mergeCell ref="A144:G144"/>
    <mergeCell ref="A145:G145"/>
    <mergeCell ref="B154:C154"/>
    <mergeCell ref="D192:E192"/>
    <mergeCell ref="A237:G237"/>
  </mergeCells>
  <hyperlinks>
    <hyperlink ref="B9" r:id="rId1"/>
  </hyperlinks>
  <pageMargins left="0.7" right="0.7" top="0.75" bottom="0.75" header="0.3" footer="0.3"/>
  <legacyDrawing r:id="rId2"/>
</worksheet>
</file>

<file path=xl/worksheets/sheet21.xml><?xml version="1.0" encoding="utf-8"?>
<worksheet xmlns="http://schemas.openxmlformats.org/spreadsheetml/2006/main" xmlns:r="http://schemas.openxmlformats.org/officeDocument/2006/relationships">
  <dimension ref="A1:J252"/>
  <sheetViews>
    <sheetView topLeftCell="A26" workbookViewId="0">
      <selection activeCell="A202" sqref="A202"/>
    </sheetView>
  </sheetViews>
  <sheetFormatPr defaultRowHeight="12.75"/>
  <cols>
    <col min="1" max="1" width="11.28515625" customWidth="1"/>
    <col min="2" max="2" width="60.28515625" customWidth="1"/>
    <col min="3" max="3" width="11.28515625" customWidth="1"/>
    <col min="4" max="4" width="10.7109375" customWidth="1"/>
    <col min="5" max="5" width="8.28515625" customWidth="1"/>
    <col min="6" max="6" width="6.28515625" customWidth="1"/>
    <col min="7" max="7" width="20.7109375" customWidth="1"/>
    <col min="8" max="8" width="9.140625" customWidth="1"/>
  </cols>
  <sheetData>
    <row r="1" spans="1:8" ht="18">
      <c r="A1" s="593"/>
      <c r="B1" s="594" t="s">
        <v>241</v>
      </c>
      <c r="C1" s="594"/>
      <c r="D1" s="648" t="s">
        <v>393</v>
      </c>
      <c r="E1" s="595"/>
      <c r="F1" s="595"/>
      <c r="G1" s="594"/>
      <c r="H1" s="596"/>
    </row>
    <row r="2" spans="1:8">
      <c r="A2" s="597"/>
      <c r="B2" s="596"/>
      <c r="C2" s="597"/>
      <c r="D2" s="597"/>
      <c r="E2" s="597"/>
      <c r="F2" s="597"/>
      <c r="G2" s="596"/>
      <c r="H2" s="596"/>
    </row>
    <row r="3" spans="1:8" ht="15.75">
      <c r="A3" s="598" t="s">
        <v>161</v>
      </c>
      <c r="B3" s="599" t="s">
        <v>689</v>
      </c>
      <c r="C3" s="600"/>
      <c r="D3" s="601" t="s">
        <v>185</v>
      </c>
      <c r="E3" s="600"/>
      <c r="F3" s="600"/>
      <c r="G3" s="596"/>
      <c r="H3" s="596"/>
    </row>
    <row r="4" spans="1:8">
      <c r="A4" s="597"/>
      <c r="B4" s="596"/>
      <c r="C4" s="597"/>
      <c r="D4" s="597"/>
      <c r="E4" s="597"/>
      <c r="F4" s="597"/>
      <c r="G4" s="596"/>
      <c r="H4" s="596"/>
    </row>
    <row r="5" spans="1:8" ht="12.75" customHeight="1">
      <c r="A5" s="1237" t="s">
        <v>189</v>
      </c>
      <c r="B5" s="599" t="s">
        <v>690</v>
      </c>
      <c r="C5" s="600"/>
      <c r="D5" s="602" t="s">
        <v>186</v>
      </c>
      <c r="E5" s="600"/>
      <c r="F5" s="600"/>
      <c r="G5" s="596"/>
      <c r="H5" s="596"/>
    </row>
    <row r="6" spans="1:8" ht="20.25" customHeight="1">
      <c r="A6" s="1237"/>
      <c r="B6" s="600"/>
      <c r="C6" s="597"/>
      <c r="D6" s="603" t="s">
        <v>187</v>
      </c>
      <c r="E6" s="597"/>
      <c r="F6" s="597"/>
      <c r="G6" s="596"/>
      <c r="H6" s="596"/>
    </row>
    <row r="7" spans="1:8" ht="12.75" customHeight="1">
      <c r="A7" s="1237" t="s">
        <v>184</v>
      </c>
      <c r="B7" s="599" t="s">
        <v>691</v>
      </c>
      <c r="C7" s="600"/>
      <c r="D7" s="600"/>
      <c r="E7" s="600"/>
      <c r="F7" s="600"/>
      <c r="G7" s="596"/>
      <c r="H7" s="596"/>
    </row>
    <row r="8" spans="1:8">
      <c r="A8" s="1237"/>
      <c r="B8" s="596"/>
      <c r="C8" s="600"/>
      <c r="D8" s="603" t="s">
        <v>188</v>
      </c>
      <c r="E8" s="597"/>
      <c r="F8" s="597"/>
      <c r="G8" s="596"/>
      <c r="H8" s="596"/>
    </row>
    <row r="9" spans="1:8">
      <c r="A9" s="604" t="s">
        <v>190</v>
      </c>
      <c r="B9" s="650" t="s">
        <v>692</v>
      </c>
      <c r="C9" s="600"/>
      <c r="D9" s="597"/>
      <c r="E9" s="597"/>
      <c r="F9" s="597"/>
      <c r="G9" s="596"/>
      <c r="H9" s="596"/>
    </row>
    <row r="10" spans="1:8">
      <c r="A10" s="595"/>
      <c r="B10" s="596"/>
      <c r="C10" s="597"/>
      <c r="D10" s="605" t="s">
        <v>242</v>
      </c>
      <c r="E10" s="597"/>
      <c r="F10" s="606"/>
      <c r="G10" s="596"/>
      <c r="H10" s="596"/>
    </row>
    <row r="11" spans="1:8">
      <c r="A11" s="607" t="s">
        <v>162</v>
      </c>
      <c r="B11" s="599" t="s">
        <v>693</v>
      </c>
      <c r="C11" s="600"/>
      <c r="D11" s="597"/>
      <c r="E11" s="597"/>
      <c r="F11" s="597"/>
      <c r="G11" s="596"/>
      <c r="H11" s="596"/>
    </row>
    <row r="12" spans="1:8">
      <c r="A12" s="597"/>
      <c r="B12" s="596"/>
      <c r="C12" s="597"/>
      <c r="D12" s="595"/>
      <c r="E12" s="597"/>
      <c r="F12" s="597"/>
      <c r="G12" s="596"/>
      <c r="H12" s="596"/>
    </row>
    <row r="13" spans="1:8">
      <c r="A13" s="1238" t="s">
        <v>163</v>
      </c>
      <c r="B13" s="599" t="s">
        <v>694</v>
      </c>
      <c r="C13" s="600"/>
      <c r="D13" s="600"/>
      <c r="E13" s="597"/>
      <c r="F13" s="597"/>
      <c r="G13" s="596"/>
      <c r="H13" s="596"/>
    </row>
    <row r="14" spans="1:8">
      <c r="A14" s="1238"/>
      <c r="B14" s="596"/>
      <c r="C14" s="596"/>
      <c r="D14" s="596"/>
      <c r="E14" s="596"/>
      <c r="F14" s="596"/>
      <c r="G14" s="596"/>
      <c r="H14" s="596"/>
    </row>
    <row r="16" spans="1:8" ht="13.5">
      <c r="A16" s="1316" t="s">
        <v>359</v>
      </c>
      <c r="B16" s="1414"/>
      <c r="C16" s="1319"/>
      <c r="D16" s="1319"/>
      <c r="E16" s="1319"/>
      <c r="F16" s="1319"/>
      <c r="G16" s="1409"/>
      <c r="H16" s="608"/>
    </row>
    <row r="17" spans="1:8">
      <c r="A17" s="572" t="s">
        <v>86</v>
      </c>
      <c r="B17" s="572" t="s">
        <v>8</v>
      </c>
      <c r="C17" s="572" t="s">
        <v>0</v>
      </c>
      <c r="D17" s="1407" t="s">
        <v>149</v>
      </c>
      <c r="E17" s="1407"/>
      <c r="F17" s="609"/>
      <c r="G17" s="610"/>
      <c r="H17" s="611"/>
    </row>
    <row r="18" spans="1:8">
      <c r="A18" s="572">
        <v>1</v>
      </c>
      <c r="B18" s="573" t="s">
        <v>1</v>
      </c>
      <c r="C18" s="574">
        <v>0</v>
      </c>
      <c r="D18" s="1405"/>
      <c r="E18" s="1405"/>
      <c r="F18" s="612"/>
      <c r="G18" s="613"/>
      <c r="H18" s="600"/>
    </row>
    <row r="19" spans="1:8" ht="25.5">
      <c r="A19" s="575" t="s">
        <v>111</v>
      </c>
      <c r="B19" s="614" t="s">
        <v>228</v>
      </c>
      <c r="C19" s="574">
        <v>8</v>
      </c>
      <c r="D19" s="1405"/>
      <c r="E19" s="1405"/>
      <c r="F19" s="612"/>
      <c r="G19" s="613"/>
      <c r="H19" s="600"/>
    </row>
    <row r="20" spans="1:8" ht="25.5">
      <c r="A20" s="575" t="s">
        <v>112</v>
      </c>
      <c r="B20" s="614" t="s">
        <v>229</v>
      </c>
      <c r="C20" s="574">
        <v>18</v>
      </c>
      <c r="D20" s="1405"/>
      <c r="E20" s="1405"/>
      <c r="F20" s="612"/>
      <c r="G20" s="613"/>
      <c r="H20" s="600"/>
    </row>
    <row r="21" spans="1:8" ht="25.5">
      <c r="A21" s="575" t="s">
        <v>113</v>
      </c>
      <c r="B21" s="615" t="s">
        <v>230</v>
      </c>
      <c r="C21" s="574">
        <v>2</v>
      </c>
      <c r="D21" s="1405"/>
      <c r="E21" s="1405"/>
      <c r="F21" s="612"/>
      <c r="G21" s="613"/>
      <c r="H21" s="600"/>
    </row>
    <row r="22" spans="1:8" ht="25.5">
      <c r="A22" s="575" t="s">
        <v>114</v>
      </c>
      <c r="B22" s="615" t="s">
        <v>231</v>
      </c>
      <c r="C22" s="577">
        <v>13</v>
      </c>
      <c r="D22" s="1405"/>
      <c r="E22" s="1405"/>
      <c r="F22" s="612"/>
      <c r="G22" s="613"/>
      <c r="H22" s="600"/>
    </row>
    <row r="23" spans="1:8">
      <c r="A23" s="1313"/>
      <c r="B23" s="1408"/>
      <c r="C23" s="1319"/>
      <c r="D23" s="1319"/>
      <c r="E23" s="1319"/>
      <c r="F23" s="1319"/>
      <c r="G23" s="1409"/>
      <c r="H23" s="608"/>
    </row>
    <row r="24" spans="1:8" ht="13.5">
      <c r="A24" s="1316" t="s">
        <v>360</v>
      </c>
      <c r="B24" s="1413"/>
      <c r="C24" s="1413"/>
      <c r="D24" s="1413"/>
      <c r="E24" s="1413"/>
      <c r="F24" s="1413"/>
      <c r="G24" s="1409"/>
      <c r="H24" s="608"/>
    </row>
    <row r="25" spans="1:8">
      <c r="A25" s="572" t="s">
        <v>86</v>
      </c>
      <c r="B25" s="572" t="s">
        <v>8</v>
      </c>
      <c r="C25" s="572" t="s">
        <v>2</v>
      </c>
      <c r="D25" s="1407" t="s">
        <v>149</v>
      </c>
      <c r="E25" s="1407"/>
      <c r="F25" s="609"/>
      <c r="G25" s="610"/>
      <c r="H25" s="611"/>
    </row>
    <row r="26" spans="1:8">
      <c r="A26" s="572">
        <v>2</v>
      </c>
      <c r="B26" s="573" t="s">
        <v>243</v>
      </c>
      <c r="C26" s="586">
        <f>SUM(C27:C30)</f>
        <v>14.5</v>
      </c>
      <c r="D26" s="1405"/>
      <c r="E26" s="1405"/>
      <c r="F26" s="612"/>
      <c r="G26" s="613"/>
      <c r="H26" s="600"/>
    </row>
    <row r="27" spans="1:8">
      <c r="A27" s="574" t="s">
        <v>3</v>
      </c>
      <c r="B27" s="576" t="s">
        <v>4</v>
      </c>
      <c r="C27" s="578">
        <v>9.5</v>
      </c>
      <c r="D27" s="1405"/>
      <c r="E27" s="1405"/>
      <c r="F27" s="612"/>
      <c r="G27" s="613"/>
      <c r="H27" s="600"/>
    </row>
    <row r="28" spans="1:8">
      <c r="A28" s="575" t="s">
        <v>5</v>
      </c>
      <c r="B28" s="576" t="s">
        <v>144</v>
      </c>
      <c r="C28" s="578">
        <v>3</v>
      </c>
      <c r="D28" s="1405"/>
      <c r="E28" s="1405"/>
      <c r="F28" s="612"/>
      <c r="G28" s="613"/>
      <c r="H28" s="600"/>
    </row>
    <row r="29" spans="1:8">
      <c r="A29" s="574" t="s">
        <v>145</v>
      </c>
      <c r="B29" s="576" t="s">
        <v>146</v>
      </c>
      <c r="C29" s="578">
        <v>2</v>
      </c>
      <c r="D29" s="1309"/>
      <c r="E29" s="1412"/>
      <c r="F29" s="617"/>
      <c r="G29" s="613"/>
      <c r="H29" s="600"/>
    </row>
    <row r="30" spans="1:8">
      <c r="A30" s="574" t="s">
        <v>244</v>
      </c>
      <c r="B30" s="576" t="s">
        <v>245</v>
      </c>
      <c r="C30" s="578"/>
      <c r="D30" s="616"/>
      <c r="E30" s="617"/>
      <c r="F30" s="617"/>
      <c r="G30" s="613"/>
      <c r="H30" s="600"/>
    </row>
    <row r="31" spans="1:8">
      <c r="A31" s="572">
        <v>3</v>
      </c>
      <c r="B31" s="573" t="s">
        <v>14</v>
      </c>
      <c r="C31" s="586">
        <f>SUM(C32:C34)</f>
        <v>32.5</v>
      </c>
      <c r="D31" s="1405"/>
      <c r="E31" s="1405"/>
      <c r="F31" s="612"/>
      <c r="G31" s="613"/>
      <c r="H31" s="600"/>
    </row>
    <row r="32" spans="1:8">
      <c r="A32" s="574" t="s">
        <v>6</v>
      </c>
      <c r="B32" s="576" t="s">
        <v>7</v>
      </c>
      <c r="C32" s="578">
        <v>23</v>
      </c>
      <c r="D32" s="1405"/>
      <c r="E32" s="1405"/>
      <c r="F32" s="612"/>
      <c r="G32" s="613"/>
      <c r="H32" s="600"/>
    </row>
    <row r="33" spans="1:8">
      <c r="A33" s="575" t="s">
        <v>12</v>
      </c>
      <c r="B33" s="576" t="s">
        <v>15</v>
      </c>
      <c r="C33" s="578">
        <v>3</v>
      </c>
      <c r="D33" s="1405"/>
      <c r="E33" s="1405"/>
      <c r="F33" s="612"/>
      <c r="G33" s="613"/>
      <c r="H33" s="600"/>
    </row>
    <row r="34" spans="1:8">
      <c r="A34" s="575" t="s">
        <v>13</v>
      </c>
      <c r="B34" s="576" t="s">
        <v>148</v>
      </c>
      <c r="C34" s="578">
        <v>6.5</v>
      </c>
      <c r="D34" s="1405"/>
      <c r="E34" s="1405"/>
      <c r="F34" s="612"/>
      <c r="G34" s="613"/>
      <c r="H34" s="600"/>
    </row>
    <row r="35" spans="1:8">
      <c r="A35" s="572">
        <v>4</v>
      </c>
      <c r="B35" s="579" t="s">
        <v>17</v>
      </c>
      <c r="C35" s="578"/>
      <c r="D35" s="1405"/>
      <c r="E35" s="1405"/>
      <c r="F35" s="612"/>
      <c r="G35" s="613"/>
      <c r="H35" s="600"/>
    </row>
    <row r="36" spans="1:8">
      <c r="A36" s="575" t="s">
        <v>16</v>
      </c>
      <c r="B36" s="576" t="s">
        <v>84</v>
      </c>
      <c r="C36" s="578">
        <v>0.5</v>
      </c>
      <c r="D36" s="1405"/>
      <c r="E36" s="1405"/>
      <c r="F36" s="612"/>
      <c r="G36" s="613"/>
      <c r="H36" s="600"/>
    </row>
    <row r="37" spans="1:8" ht="25.5">
      <c r="A37" s="572">
        <v>5</v>
      </c>
      <c r="B37" s="618" t="s">
        <v>26</v>
      </c>
      <c r="C37" s="578">
        <v>16.690000000000001</v>
      </c>
      <c r="D37" s="1405"/>
      <c r="E37" s="1405"/>
      <c r="F37" s="612"/>
      <c r="G37" s="613"/>
      <c r="H37" s="600"/>
    </row>
    <row r="38" spans="1:8">
      <c r="A38" s="580" t="s">
        <v>147</v>
      </c>
      <c r="B38" s="579" t="s">
        <v>150</v>
      </c>
      <c r="C38" s="578">
        <v>0.1</v>
      </c>
      <c r="D38" s="1407"/>
      <c r="E38" s="1407"/>
      <c r="F38" s="609"/>
      <c r="G38" s="613"/>
      <c r="H38" s="600"/>
    </row>
    <row r="39" spans="1:8">
      <c r="A39" s="572">
        <v>6</v>
      </c>
      <c r="B39" s="573" t="s">
        <v>85</v>
      </c>
      <c r="C39" s="586">
        <f>SUM(C26+C31+C35+C37)</f>
        <v>63.69</v>
      </c>
      <c r="D39" s="1405"/>
      <c r="E39" s="1405"/>
      <c r="F39" s="612"/>
      <c r="G39" s="613"/>
      <c r="H39" s="600"/>
    </row>
    <row r="40" spans="1:8">
      <c r="A40" s="1313"/>
      <c r="B40" s="1408"/>
      <c r="C40" s="1319"/>
      <c r="D40" s="1319"/>
      <c r="E40" s="1319"/>
      <c r="F40" s="1319"/>
      <c r="G40" s="1409"/>
      <c r="H40" s="608"/>
    </row>
    <row r="41" spans="1:8" ht="15.75">
      <c r="A41" s="1316" t="s">
        <v>361</v>
      </c>
      <c r="B41" s="1410"/>
      <c r="C41" s="1410"/>
      <c r="D41" s="1410"/>
      <c r="E41" s="1410"/>
      <c r="F41" s="1410"/>
      <c r="G41" s="1411"/>
      <c r="H41" s="619"/>
    </row>
    <row r="42" spans="1:8">
      <c r="A42" s="572" t="s">
        <v>86</v>
      </c>
      <c r="B42" s="572" t="s">
        <v>8</v>
      </c>
      <c r="C42" s="572" t="s">
        <v>9</v>
      </c>
      <c r="D42" s="1407" t="s">
        <v>149</v>
      </c>
      <c r="E42" s="1407"/>
      <c r="F42" s="609"/>
      <c r="G42" s="610"/>
      <c r="H42" s="611"/>
    </row>
    <row r="43" spans="1:8">
      <c r="A43" s="572"/>
      <c r="B43" s="620" t="s">
        <v>10</v>
      </c>
      <c r="C43" s="1405"/>
      <c r="D43" s="1405"/>
      <c r="E43" s="1405"/>
      <c r="F43" s="612"/>
      <c r="G43" s="613"/>
      <c r="H43" s="600"/>
    </row>
    <row r="44" spans="1:8">
      <c r="A44" s="572">
        <v>7</v>
      </c>
      <c r="B44" s="573" t="s">
        <v>246</v>
      </c>
      <c r="C44" s="621">
        <f>SUM(C45:C47)</f>
        <v>1187440</v>
      </c>
      <c r="D44" s="1405"/>
      <c r="E44" s="1405"/>
      <c r="F44" s="612"/>
      <c r="G44" s="613"/>
      <c r="H44" s="600"/>
    </row>
    <row r="45" spans="1:8">
      <c r="A45" s="574" t="s">
        <v>11</v>
      </c>
      <c r="B45" s="576" t="s">
        <v>19</v>
      </c>
      <c r="C45" s="587">
        <v>752650</v>
      </c>
      <c r="D45" s="1405"/>
      <c r="E45" s="1405"/>
      <c r="F45" s="612"/>
      <c r="G45" s="613"/>
      <c r="H45" s="600"/>
    </row>
    <row r="46" spans="1:8">
      <c r="A46" s="575" t="s">
        <v>18</v>
      </c>
      <c r="B46" s="576" t="s">
        <v>151</v>
      </c>
      <c r="C46" s="587">
        <v>434790</v>
      </c>
      <c r="D46" s="1405"/>
      <c r="E46" s="1405"/>
      <c r="F46" s="612"/>
      <c r="G46" s="613"/>
      <c r="H46" s="600"/>
    </row>
    <row r="47" spans="1:8">
      <c r="A47" s="574" t="s">
        <v>247</v>
      </c>
      <c r="B47" s="576" t="s">
        <v>248</v>
      </c>
      <c r="C47" s="591">
        <v>0</v>
      </c>
      <c r="D47" s="612"/>
      <c r="E47" s="612"/>
      <c r="F47" s="612"/>
      <c r="G47" s="613"/>
      <c r="H47" s="600"/>
    </row>
    <row r="48" spans="1:8">
      <c r="A48" s="572">
        <v>8</v>
      </c>
      <c r="B48" s="573" t="s">
        <v>109</v>
      </c>
      <c r="C48" s="621">
        <f>SUM(C49:C51)</f>
        <v>1581765</v>
      </c>
      <c r="D48" s="1405"/>
      <c r="E48" s="1405"/>
      <c r="F48" s="612"/>
      <c r="G48" s="613"/>
      <c r="H48" s="600"/>
    </row>
    <row r="49" spans="1:8">
      <c r="A49" s="581" t="s">
        <v>20</v>
      </c>
      <c r="B49" s="582" t="s">
        <v>23</v>
      </c>
      <c r="C49" s="587">
        <v>1031468</v>
      </c>
      <c r="D49" s="1405"/>
      <c r="E49" s="1405"/>
      <c r="F49" s="612"/>
      <c r="G49" s="613"/>
      <c r="H49" s="600"/>
    </row>
    <row r="50" spans="1:8">
      <c r="A50" s="575" t="s">
        <v>21</v>
      </c>
      <c r="B50" s="576" t="s">
        <v>24</v>
      </c>
      <c r="C50" s="587">
        <v>136363</v>
      </c>
      <c r="D50" s="1405"/>
      <c r="E50" s="1405"/>
      <c r="F50" s="612"/>
      <c r="G50" s="613"/>
      <c r="H50" s="600"/>
    </row>
    <row r="51" spans="1:8">
      <c r="A51" s="575" t="s">
        <v>22</v>
      </c>
      <c r="B51" s="576" t="s">
        <v>25</v>
      </c>
      <c r="C51" s="587">
        <v>413934</v>
      </c>
      <c r="D51" s="1405"/>
      <c r="E51" s="1405"/>
      <c r="F51" s="612"/>
      <c r="G51" s="613"/>
      <c r="H51" s="600"/>
    </row>
    <row r="52" spans="1:8" ht="25.5">
      <c r="A52" s="583">
        <v>9</v>
      </c>
      <c r="B52" s="584" t="s">
        <v>27</v>
      </c>
      <c r="C52" s="588">
        <v>323755</v>
      </c>
      <c r="D52" s="1405"/>
      <c r="E52" s="1405"/>
      <c r="F52" s="612"/>
      <c r="G52" s="613"/>
      <c r="H52" s="600"/>
    </row>
    <row r="53" spans="1:8">
      <c r="A53" s="583">
        <v>10</v>
      </c>
      <c r="B53" s="584" t="s">
        <v>249</v>
      </c>
      <c r="C53" s="588">
        <f>SUM(C44+C48+C52)</f>
        <v>3092960</v>
      </c>
      <c r="D53" s="616"/>
      <c r="E53" s="622"/>
      <c r="F53" s="622"/>
      <c r="G53" s="613"/>
      <c r="H53" s="600"/>
    </row>
    <row r="54" spans="1:8">
      <c r="A54" s="583"/>
      <c r="B54" s="584"/>
      <c r="C54" s="587"/>
      <c r="D54" s="1309"/>
      <c r="E54" s="1310"/>
      <c r="F54" s="622"/>
      <c r="G54" s="613"/>
      <c r="H54" s="600"/>
    </row>
    <row r="55" spans="1:8">
      <c r="A55" s="623"/>
      <c r="B55" s="620" t="s">
        <v>250</v>
      </c>
      <c r="C55" s="624"/>
      <c r="D55" s="1407"/>
      <c r="E55" s="1405"/>
      <c r="F55" s="612"/>
      <c r="G55" s="613"/>
      <c r="H55" s="600"/>
    </row>
    <row r="56" spans="1:8" ht="25.5">
      <c r="A56" s="625">
        <v>11</v>
      </c>
      <c r="B56" s="626" t="s">
        <v>251</v>
      </c>
      <c r="C56" s="627">
        <v>209865</v>
      </c>
      <c r="D56" s="1405"/>
      <c r="E56" s="1405"/>
      <c r="F56" s="612"/>
      <c r="G56" s="613"/>
      <c r="H56" s="600"/>
    </row>
    <row r="57" spans="1:8">
      <c r="A57" s="628" t="s">
        <v>30</v>
      </c>
      <c r="B57" s="629" t="s">
        <v>28</v>
      </c>
      <c r="C57" s="587">
        <v>201809</v>
      </c>
      <c r="D57" s="1405"/>
      <c r="E57" s="1405"/>
      <c r="F57" s="612"/>
      <c r="G57" s="613"/>
      <c r="H57" s="600"/>
    </row>
    <row r="58" spans="1:8">
      <c r="A58" s="628" t="s">
        <v>32</v>
      </c>
      <c r="B58" s="629" t="s">
        <v>363</v>
      </c>
      <c r="C58" s="587">
        <v>7055</v>
      </c>
      <c r="D58" s="1405"/>
      <c r="E58" s="1405"/>
      <c r="F58" s="612"/>
      <c r="G58" s="613"/>
      <c r="H58" s="600"/>
    </row>
    <row r="59" spans="1:8">
      <c r="A59" s="628" t="s">
        <v>34</v>
      </c>
      <c r="B59" s="629" t="s">
        <v>29</v>
      </c>
      <c r="C59" s="587">
        <v>112</v>
      </c>
      <c r="D59" s="1405"/>
      <c r="E59" s="1405"/>
      <c r="F59" s="612"/>
      <c r="G59" s="613"/>
      <c r="H59" s="600"/>
    </row>
    <row r="60" spans="1:8" ht="38.25">
      <c r="A60" s="625">
        <v>12</v>
      </c>
      <c r="B60" s="626" t="s">
        <v>252</v>
      </c>
      <c r="C60" s="589">
        <f>SUM(C61+C62+C64+C65+C66)</f>
        <v>1336963</v>
      </c>
      <c r="D60" s="1405"/>
      <c r="E60" s="1405"/>
      <c r="F60" s="612"/>
      <c r="G60" s="613"/>
      <c r="H60" s="600"/>
    </row>
    <row r="61" spans="1:8">
      <c r="A61" s="628" t="s">
        <v>36</v>
      </c>
      <c r="B61" s="629" t="s">
        <v>31</v>
      </c>
      <c r="C61" s="587">
        <v>295024</v>
      </c>
      <c r="D61" s="1405"/>
      <c r="E61" s="1405"/>
      <c r="F61" s="612"/>
      <c r="G61" s="613"/>
      <c r="H61" s="600"/>
    </row>
    <row r="62" spans="1:8">
      <c r="A62" s="628" t="s">
        <v>38</v>
      </c>
      <c r="B62" s="629" t="s">
        <v>206</v>
      </c>
      <c r="C62" s="587">
        <v>1023582</v>
      </c>
      <c r="D62" s="1405"/>
      <c r="E62" s="1405"/>
      <c r="F62" s="612"/>
      <c r="G62" s="613"/>
      <c r="H62" s="600"/>
    </row>
    <row r="63" spans="1:8">
      <c r="A63" s="628" t="s">
        <v>253</v>
      </c>
      <c r="B63" s="629" t="s">
        <v>33</v>
      </c>
      <c r="C63" s="587">
        <v>237350</v>
      </c>
      <c r="D63" s="1405"/>
      <c r="E63" s="1405"/>
      <c r="F63" s="612"/>
      <c r="G63" s="613"/>
      <c r="H63" s="600"/>
    </row>
    <row r="64" spans="1:8">
      <c r="A64" s="628" t="s">
        <v>39</v>
      </c>
      <c r="B64" s="629" t="s">
        <v>35</v>
      </c>
      <c r="C64" s="587">
        <v>2673</v>
      </c>
      <c r="D64" s="1405"/>
      <c r="E64" s="1405"/>
      <c r="F64" s="612"/>
      <c r="G64" s="613"/>
      <c r="H64" s="600"/>
    </row>
    <row r="65" spans="1:8">
      <c r="A65" s="630" t="s">
        <v>254</v>
      </c>
      <c r="B65" s="629" t="s">
        <v>153</v>
      </c>
      <c r="C65" s="587">
        <v>14330</v>
      </c>
      <c r="D65" s="1405"/>
      <c r="E65" s="1405"/>
      <c r="F65" s="612"/>
      <c r="G65" s="613"/>
      <c r="H65" s="600"/>
    </row>
    <row r="66" spans="1:8">
      <c r="A66" s="630" t="s">
        <v>255</v>
      </c>
      <c r="B66" s="631" t="s">
        <v>216</v>
      </c>
      <c r="C66" s="587">
        <v>1354</v>
      </c>
      <c r="D66" s="1405"/>
      <c r="E66" s="1405"/>
      <c r="F66" s="612"/>
      <c r="G66" s="613"/>
      <c r="H66" s="600"/>
    </row>
    <row r="67" spans="1:8">
      <c r="A67" s="625">
        <v>13</v>
      </c>
      <c r="B67" s="632" t="s">
        <v>256</v>
      </c>
      <c r="C67" s="589">
        <f>SUM(C68:C69)</f>
        <v>6856</v>
      </c>
      <c r="D67" s="1405"/>
      <c r="E67" s="1405"/>
      <c r="F67" s="612"/>
      <c r="G67" s="613"/>
      <c r="H67" s="600"/>
    </row>
    <row r="68" spans="1:8">
      <c r="A68" s="628" t="s">
        <v>156</v>
      </c>
      <c r="B68" s="631" t="s">
        <v>40</v>
      </c>
      <c r="C68" s="587">
        <v>0</v>
      </c>
      <c r="D68" s="1405"/>
      <c r="E68" s="1405"/>
      <c r="F68" s="612"/>
      <c r="G68" s="613"/>
      <c r="H68" s="600"/>
    </row>
    <row r="69" spans="1:8">
      <c r="A69" s="628" t="s">
        <v>157</v>
      </c>
      <c r="B69" s="631" t="s">
        <v>41</v>
      </c>
      <c r="C69" s="587">
        <v>6856</v>
      </c>
      <c r="D69" s="1405"/>
      <c r="E69" s="1405"/>
      <c r="F69" s="612"/>
      <c r="G69" s="613"/>
      <c r="H69" s="600"/>
    </row>
    <row r="70" spans="1:8">
      <c r="A70" s="623">
        <v>14</v>
      </c>
      <c r="B70" s="610" t="s">
        <v>257</v>
      </c>
      <c r="C70" s="589">
        <v>1878</v>
      </c>
      <c r="D70" s="1405"/>
      <c r="E70" s="1405"/>
      <c r="F70" s="612"/>
      <c r="G70" s="613"/>
      <c r="H70" s="600"/>
    </row>
    <row r="71" spans="1:8">
      <c r="A71" s="633" t="s">
        <v>42</v>
      </c>
      <c r="B71" s="634" t="s">
        <v>155</v>
      </c>
      <c r="C71" s="587">
        <v>0</v>
      </c>
      <c r="D71" s="1407"/>
      <c r="E71" s="1407"/>
      <c r="F71" s="609"/>
      <c r="G71" s="613"/>
      <c r="H71" s="600"/>
    </row>
    <row r="72" spans="1:8">
      <c r="A72" s="633" t="s">
        <v>43</v>
      </c>
      <c r="B72" s="635" t="s">
        <v>258</v>
      </c>
      <c r="C72" s="587">
        <v>0</v>
      </c>
      <c r="D72" s="609"/>
      <c r="E72" s="609"/>
      <c r="F72" s="609"/>
      <c r="G72" s="613"/>
      <c r="H72" s="600"/>
    </row>
    <row r="73" spans="1:8">
      <c r="A73" s="633" t="s">
        <v>45</v>
      </c>
      <c r="B73" s="636" t="s">
        <v>44</v>
      </c>
      <c r="C73" s="587">
        <v>0</v>
      </c>
      <c r="D73" s="1405"/>
      <c r="E73" s="1405"/>
      <c r="F73" s="612"/>
      <c r="G73" s="613"/>
      <c r="H73" s="600"/>
    </row>
    <row r="74" spans="1:8">
      <c r="A74" s="633" t="s">
        <v>154</v>
      </c>
      <c r="B74" s="636" t="s">
        <v>46</v>
      </c>
      <c r="C74" s="587">
        <v>1878</v>
      </c>
      <c r="D74" s="1405"/>
      <c r="E74" s="1405"/>
      <c r="F74" s="612"/>
      <c r="G74" s="613"/>
      <c r="H74" s="600"/>
    </row>
    <row r="75" spans="1:8">
      <c r="A75" s="637" t="s">
        <v>259</v>
      </c>
      <c r="B75" s="636" t="s">
        <v>104</v>
      </c>
      <c r="C75" s="587"/>
      <c r="D75" s="1405"/>
      <c r="E75" s="1405"/>
      <c r="F75" s="612"/>
      <c r="G75" s="613"/>
      <c r="H75" s="600"/>
    </row>
    <row r="76" spans="1:8">
      <c r="A76" s="638">
        <v>15</v>
      </c>
      <c r="B76" s="610" t="s">
        <v>260</v>
      </c>
      <c r="C76" s="590"/>
      <c r="D76" s="612"/>
      <c r="E76" s="612"/>
      <c r="F76" s="612"/>
      <c r="G76" s="613"/>
      <c r="H76" s="600"/>
    </row>
    <row r="77" spans="1:8">
      <c r="A77" s="637"/>
      <c r="B77" s="610"/>
      <c r="C77" s="590"/>
      <c r="D77" s="612"/>
      <c r="E77" s="612"/>
      <c r="F77" s="612"/>
      <c r="G77" s="613"/>
      <c r="H77" s="600"/>
    </row>
    <row r="78" spans="1:8">
      <c r="A78" s="637"/>
      <c r="B78" s="639" t="s">
        <v>261</v>
      </c>
      <c r="C78" s="587"/>
      <c r="D78" s="1405"/>
      <c r="E78" s="1405"/>
      <c r="F78" s="612"/>
      <c r="G78" s="613"/>
      <c r="H78" s="600"/>
    </row>
    <row r="79" spans="1:8">
      <c r="A79" s="637"/>
      <c r="C79" s="587"/>
      <c r="D79" s="612"/>
      <c r="E79" s="612"/>
      <c r="F79" s="612"/>
      <c r="G79" s="613"/>
      <c r="H79" s="600"/>
    </row>
    <row r="80" spans="1:8">
      <c r="A80" s="623">
        <v>16</v>
      </c>
      <c r="B80" s="640" t="s">
        <v>262</v>
      </c>
      <c r="C80" s="591">
        <f>SUM(C81:C85)</f>
        <v>53402</v>
      </c>
      <c r="D80" s="612"/>
      <c r="E80" s="612"/>
      <c r="F80" s="612"/>
      <c r="G80" s="613"/>
      <c r="H80" s="600"/>
    </row>
    <row r="81" spans="1:8">
      <c r="A81" s="637" t="s">
        <v>263</v>
      </c>
      <c r="B81" s="613" t="s">
        <v>264</v>
      </c>
      <c r="C81" s="587">
        <v>24400</v>
      </c>
      <c r="D81" s="612"/>
      <c r="E81" s="612"/>
      <c r="F81" s="612"/>
      <c r="G81" s="613"/>
      <c r="H81" s="600"/>
    </row>
    <row r="82" spans="1:8" ht="25.5">
      <c r="A82" s="637" t="s">
        <v>192</v>
      </c>
      <c r="B82" s="641" t="s">
        <v>207</v>
      </c>
      <c r="C82" s="587">
        <v>22797</v>
      </c>
      <c r="D82" s="612"/>
      <c r="E82" s="612"/>
      <c r="F82" s="612"/>
      <c r="G82" s="613"/>
      <c r="H82" s="600"/>
    </row>
    <row r="83" spans="1:8">
      <c r="A83" s="637" t="s">
        <v>193</v>
      </c>
      <c r="B83" s="613" t="s">
        <v>158</v>
      </c>
      <c r="C83" s="587">
        <v>1031</v>
      </c>
      <c r="D83" s="612"/>
      <c r="E83" s="612"/>
      <c r="F83" s="612"/>
      <c r="G83" s="613"/>
      <c r="H83" s="600"/>
    </row>
    <row r="84" spans="1:8">
      <c r="A84" s="637" t="s">
        <v>265</v>
      </c>
      <c r="B84" s="613" t="s">
        <v>159</v>
      </c>
      <c r="C84" s="587">
        <v>470</v>
      </c>
      <c r="D84" s="612"/>
      <c r="E84" s="612"/>
      <c r="F84" s="612"/>
      <c r="G84" s="613"/>
      <c r="H84" s="600"/>
    </row>
    <row r="85" spans="1:8">
      <c r="A85" s="637" t="s">
        <v>266</v>
      </c>
      <c r="B85" s="613" t="s">
        <v>160</v>
      </c>
      <c r="C85" s="587">
        <v>4704</v>
      </c>
      <c r="D85" s="612"/>
      <c r="E85" s="612"/>
      <c r="F85" s="612"/>
      <c r="G85" s="613"/>
      <c r="H85" s="600"/>
    </row>
    <row r="86" spans="1:8">
      <c r="A86" s="638">
        <v>17</v>
      </c>
      <c r="B86" s="639" t="s">
        <v>191</v>
      </c>
      <c r="C86" s="591">
        <v>195132</v>
      </c>
      <c r="D86" s="1405"/>
      <c r="E86" s="1405"/>
      <c r="F86" s="612"/>
      <c r="G86" s="610"/>
      <c r="H86" s="611"/>
    </row>
    <row r="87" spans="1:8">
      <c r="A87" s="638">
        <v>18</v>
      </c>
      <c r="B87" s="610" t="s">
        <v>267</v>
      </c>
      <c r="C87" s="589">
        <v>29651</v>
      </c>
      <c r="D87" s="1405"/>
      <c r="E87" s="1405"/>
      <c r="F87" s="612"/>
      <c r="G87" s="613"/>
      <c r="H87" s="600"/>
    </row>
    <row r="88" spans="1:8">
      <c r="A88" s="633" t="s">
        <v>268</v>
      </c>
      <c r="B88" s="642" t="s">
        <v>47</v>
      </c>
      <c r="C88" s="587">
        <v>4256</v>
      </c>
      <c r="D88" s="1405"/>
      <c r="E88" s="1405"/>
      <c r="F88" s="612"/>
      <c r="G88" s="613"/>
      <c r="H88" s="600"/>
    </row>
    <row r="89" spans="1:8">
      <c r="A89" s="633" t="s">
        <v>269</v>
      </c>
      <c r="B89" s="642" t="s">
        <v>48</v>
      </c>
      <c r="C89" s="587">
        <v>16601</v>
      </c>
      <c r="D89" s="1405"/>
      <c r="E89" s="1405"/>
      <c r="F89" s="612"/>
      <c r="G89" s="613"/>
      <c r="H89" s="600"/>
    </row>
    <row r="90" spans="1:8">
      <c r="A90" s="633" t="s">
        <v>270</v>
      </c>
      <c r="B90" s="642" t="s">
        <v>105</v>
      </c>
      <c r="C90" s="624">
        <v>8794</v>
      </c>
      <c r="D90" s="1405"/>
      <c r="E90" s="1405"/>
      <c r="F90" s="612"/>
      <c r="G90" s="613"/>
      <c r="H90" s="600"/>
    </row>
    <row r="91" spans="1:8">
      <c r="A91" s="638">
        <v>19</v>
      </c>
      <c r="B91" s="613" t="s">
        <v>205</v>
      </c>
      <c r="C91" s="624">
        <v>337792</v>
      </c>
      <c r="D91" s="1405"/>
      <c r="E91" s="1405"/>
      <c r="F91" s="612"/>
      <c r="G91" s="613"/>
      <c r="H91" s="600"/>
    </row>
    <row r="92" spans="1:8" ht="38.25">
      <c r="A92" s="638">
        <v>20</v>
      </c>
      <c r="B92" s="641" t="s">
        <v>106</v>
      </c>
      <c r="C92" s="624">
        <v>320915</v>
      </c>
      <c r="D92" s="1405"/>
      <c r="E92" s="1405"/>
      <c r="F92" s="612"/>
      <c r="G92" s="613"/>
      <c r="H92" s="600"/>
    </row>
    <row r="93" spans="1:8">
      <c r="A93" s="638">
        <v>21</v>
      </c>
      <c r="B93" s="613" t="s">
        <v>103</v>
      </c>
      <c r="C93" s="624">
        <v>72745</v>
      </c>
      <c r="D93" s="1405"/>
      <c r="E93" s="1405"/>
      <c r="F93" s="612"/>
      <c r="G93" s="613"/>
      <c r="H93" s="600"/>
    </row>
    <row r="94" spans="1:8" ht="25.5">
      <c r="A94" s="638">
        <v>22</v>
      </c>
      <c r="B94" s="641" t="s">
        <v>107</v>
      </c>
      <c r="C94" s="643">
        <v>27002</v>
      </c>
      <c r="D94" s="1405"/>
      <c r="E94" s="1405"/>
      <c r="F94" s="644"/>
      <c r="G94" s="645"/>
      <c r="H94" s="608"/>
    </row>
    <row r="95" spans="1:8" ht="25.5">
      <c r="A95" s="638">
        <v>23</v>
      </c>
      <c r="B95" s="641" t="s">
        <v>271</v>
      </c>
      <c r="C95" s="646">
        <f>SUM(C53,C76,C80,C86,C87,C91,C92,C93,C94)</f>
        <v>4129599</v>
      </c>
      <c r="D95" s="1405"/>
      <c r="E95" s="1405"/>
      <c r="F95" s="612"/>
      <c r="G95" s="613"/>
      <c r="H95" s="600"/>
    </row>
    <row r="96" spans="1:8">
      <c r="A96" s="637" t="s">
        <v>108</v>
      </c>
      <c r="B96" s="642" t="s">
        <v>49</v>
      </c>
      <c r="C96" s="624">
        <v>1075519</v>
      </c>
      <c r="D96" s="1405"/>
      <c r="E96" s="1405"/>
      <c r="F96" s="612"/>
      <c r="G96" s="613"/>
      <c r="H96" s="600"/>
    </row>
    <row r="97" spans="1:8" ht="15">
      <c r="A97" s="638">
        <v>24</v>
      </c>
      <c r="B97" s="613" t="s">
        <v>272</v>
      </c>
      <c r="C97" s="647">
        <f>SUM(C95,C96)</f>
        <v>5205118</v>
      </c>
      <c r="D97" s="1405"/>
      <c r="E97" s="1405"/>
      <c r="F97" s="612"/>
      <c r="G97" s="613"/>
      <c r="H97" s="600"/>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7829</v>
      </c>
      <c r="D103" s="51">
        <v>4970</v>
      </c>
      <c r="E103" s="34">
        <v>824982</v>
      </c>
      <c r="F103" s="34"/>
      <c r="G103" s="10"/>
      <c r="H103" s="3"/>
    </row>
    <row r="104" spans="1:8">
      <c r="A104" s="25" t="s">
        <v>91</v>
      </c>
      <c r="B104" s="13" t="s">
        <v>53</v>
      </c>
      <c r="C104" s="51">
        <f>SUM(C105:C106)</f>
        <v>3570</v>
      </c>
      <c r="D104" s="51">
        <v>902</v>
      </c>
      <c r="E104" s="34">
        <v>603982</v>
      </c>
      <c r="F104" s="34"/>
      <c r="G104" s="10"/>
      <c r="H104" s="3"/>
    </row>
    <row r="105" spans="1:8">
      <c r="A105" s="25" t="s">
        <v>194</v>
      </c>
      <c r="B105" s="35" t="s">
        <v>54</v>
      </c>
      <c r="C105" s="34">
        <v>2976</v>
      </c>
      <c r="D105" s="25" t="s">
        <v>400</v>
      </c>
      <c r="E105" s="34" t="s">
        <v>201</v>
      </c>
      <c r="F105" s="34"/>
      <c r="G105" s="31" t="s">
        <v>695</v>
      </c>
      <c r="H105" s="3"/>
    </row>
    <row r="106" spans="1:8">
      <c r="A106" s="25" t="s">
        <v>195</v>
      </c>
      <c r="B106" s="35" t="s">
        <v>55</v>
      </c>
      <c r="C106" s="34">
        <v>594</v>
      </c>
      <c r="D106" s="25" t="s">
        <v>400</v>
      </c>
      <c r="E106" s="34" t="s">
        <v>201</v>
      </c>
      <c r="F106" s="34"/>
      <c r="G106" s="31" t="s">
        <v>695</v>
      </c>
      <c r="H106" s="3"/>
    </row>
    <row r="107" spans="1:8">
      <c r="A107" s="25" t="s">
        <v>93</v>
      </c>
      <c r="B107" s="13" t="s">
        <v>56</v>
      </c>
      <c r="C107" s="34">
        <v>1002</v>
      </c>
      <c r="D107" s="34">
        <v>31</v>
      </c>
      <c r="E107" s="34">
        <v>118905</v>
      </c>
      <c r="F107" s="34"/>
      <c r="G107" s="10"/>
      <c r="H107" s="3"/>
    </row>
    <row r="108" spans="1:8">
      <c r="A108" s="25" t="s">
        <v>275</v>
      </c>
      <c r="B108" s="13" t="s">
        <v>57</v>
      </c>
      <c r="C108" s="34">
        <v>308</v>
      </c>
      <c r="D108" s="34">
        <v>1712</v>
      </c>
      <c r="E108" s="34">
        <v>37738</v>
      </c>
      <c r="F108" s="34"/>
      <c r="G108" s="10"/>
      <c r="H108" s="3"/>
    </row>
    <row r="109" spans="1:8">
      <c r="A109" s="25" t="s">
        <v>276</v>
      </c>
      <c r="B109" s="13" t="s">
        <v>58</v>
      </c>
      <c r="C109" s="34">
        <v>2173</v>
      </c>
      <c r="D109" s="34">
        <v>2240</v>
      </c>
      <c r="E109" s="34">
        <v>43351</v>
      </c>
      <c r="F109" s="34"/>
      <c r="G109" s="10"/>
      <c r="H109" s="3"/>
    </row>
    <row r="110" spans="1:8">
      <c r="A110" s="27" t="s">
        <v>277</v>
      </c>
      <c r="B110" s="13" t="s">
        <v>139</v>
      </c>
      <c r="C110" s="52">
        <v>776</v>
      </c>
      <c r="D110" s="51">
        <v>85</v>
      </c>
      <c r="E110" s="34">
        <v>21073</v>
      </c>
      <c r="F110" s="34"/>
      <c r="G110" s="10"/>
      <c r="H110" s="3"/>
    </row>
    <row r="111" spans="1:8">
      <c r="A111" s="30">
        <v>26</v>
      </c>
      <c r="B111" s="18" t="s">
        <v>278</v>
      </c>
      <c r="C111" s="34">
        <f>SUM(C112,C113)</f>
        <v>3112</v>
      </c>
      <c r="D111" s="34">
        <v>2357</v>
      </c>
      <c r="E111" s="34">
        <v>8556</v>
      </c>
      <c r="F111" s="34"/>
      <c r="G111" s="10"/>
      <c r="H111" s="3"/>
    </row>
    <row r="112" spans="1:8">
      <c r="A112" s="25" t="s">
        <v>92</v>
      </c>
      <c r="B112" s="13" t="s">
        <v>59</v>
      </c>
      <c r="C112" s="34">
        <v>211</v>
      </c>
      <c r="D112" s="34">
        <v>1922</v>
      </c>
      <c r="E112" s="34">
        <v>3236</v>
      </c>
      <c r="F112" s="34"/>
      <c r="G112" s="571">
        <v>40416</v>
      </c>
      <c r="H112" s="3"/>
    </row>
    <row r="113" spans="1:8">
      <c r="A113" s="27" t="s">
        <v>94</v>
      </c>
      <c r="B113" s="13" t="s">
        <v>164</v>
      </c>
      <c r="C113" s="34">
        <v>2901</v>
      </c>
      <c r="D113" s="34">
        <v>2</v>
      </c>
      <c r="E113" s="34">
        <v>5320</v>
      </c>
      <c r="F113" s="34"/>
      <c r="G113" s="571">
        <v>40438</v>
      </c>
      <c r="H113" s="3"/>
    </row>
    <row r="114" spans="1:8">
      <c r="A114" s="25"/>
      <c r="B114" s="13"/>
      <c r="C114" s="34"/>
      <c r="D114" s="34"/>
      <c r="E114" s="34"/>
      <c r="F114" s="34"/>
      <c r="G114" s="10"/>
      <c r="H114" s="3"/>
    </row>
    <row r="115" spans="1:8" ht="38.25">
      <c r="A115" s="36">
        <v>27</v>
      </c>
      <c r="B115" s="33" t="s">
        <v>279</v>
      </c>
      <c r="C115" s="51">
        <f>SUM(C116+C119)</f>
        <v>8871</v>
      </c>
      <c r="D115" s="51">
        <f>SUM(D116+D119)</f>
        <v>7173</v>
      </c>
      <c r="E115" s="34">
        <v>50487</v>
      </c>
      <c r="F115" s="34"/>
      <c r="G115" s="10"/>
      <c r="H115" s="3"/>
    </row>
    <row r="116" spans="1:8" ht="25.5">
      <c r="A116" s="30" t="s">
        <v>196</v>
      </c>
      <c r="B116" s="126" t="s">
        <v>280</v>
      </c>
      <c r="C116" s="52">
        <f>SUM(C117,C118)</f>
        <v>133</v>
      </c>
      <c r="D116" s="52">
        <f>SUM(D117:D118)</f>
        <v>4251</v>
      </c>
      <c r="E116" s="25">
        <v>32946</v>
      </c>
      <c r="F116" s="25"/>
      <c r="G116" s="10"/>
      <c r="H116" s="3"/>
    </row>
    <row r="117" spans="1:8">
      <c r="A117" s="25" t="s">
        <v>281</v>
      </c>
      <c r="B117" s="35" t="s">
        <v>124</v>
      </c>
      <c r="C117" s="25">
        <v>15</v>
      </c>
      <c r="D117" s="25">
        <v>169</v>
      </c>
      <c r="E117" s="25">
        <v>737</v>
      </c>
      <c r="F117" s="25"/>
      <c r="G117" s="10"/>
      <c r="H117" s="3"/>
    </row>
    <row r="118" spans="1:8">
      <c r="A118" s="25" t="s">
        <v>282</v>
      </c>
      <c r="B118" s="35" t="s">
        <v>125</v>
      </c>
      <c r="C118" s="25">
        <v>118</v>
      </c>
      <c r="D118" s="25">
        <v>4082</v>
      </c>
      <c r="E118" s="25">
        <v>32219</v>
      </c>
      <c r="F118" s="25"/>
      <c r="G118" s="10"/>
      <c r="H118" s="3"/>
    </row>
    <row r="119" spans="1:8" ht="25.5">
      <c r="A119" s="30" t="s">
        <v>283</v>
      </c>
      <c r="B119" s="126" t="s">
        <v>284</v>
      </c>
      <c r="C119" s="52">
        <f>SUM(C120:C122)</f>
        <v>8738</v>
      </c>
      <c r="D119" s="52">
        <f>SUM(D120:D122)</f>
        <v>2922</v>
      </c>
      <c r="E119" s="570">
        <f>SUM(E120:E122)</f>
        <v>17541</v>
      </c>
      <c r="F119" s="25"/>
      <c r="G119" s="10"/>
      <c r="H119" s="3"/>
    </row>
    <row r="120" spans="1:8">
      <c r="A120" s="25" t="s">
        <v>285</v>
      </c>
      <c r="B120" s="35" t="s">
        <v>126</v>
      </c>
      <c r="C120" s="25">
        <v>7</v>
      </c>
      <c r="D120" s="25">
        <v>0</v>
      </c>
      <c r="E120" s="25">
        <v>76</v>
      </c>
      <c r="F120" s="25"/>
      <c r="G120" s="10"/>
      <c r="H120" s="3"/>
    </row>
    <row r="121" spans="1:8">
      <c r="A121" s="27" t="s">
        <v>286</v>
      </c>
      <c r="B121" s="35" t="s">
        <v>287</v>
      </c>
      <c r="C121" s="25">
        <v>8542</v>
      </c>
      <c r="D121" s="25">
        <v>2910</v>
      </c>
      <c r="E121" s="25">
        <v>15632</v>
      </c>
      <c r="F121" s="25"/>
      <c r="G121" s="10"/>
      <c r="H121" s="3"/>
    </row>
    <row r="122" spans="1:8">
      <c r="A122" s="25" t="s">
        <v>288</v>
      </c>
      <c r="B122" s="35" t="s">
        <v>218</v>
      </c>
      <c r="C122" s="25">
        <v>189</v>
      </c>
      <c r="D122" s="25">
        <v>12</v>
      </c>
      <c r="E122" s="25">
        <v>1833</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149</v>
      </c>
      <c r="D125" s="52">
        <f>SUM(D126:D127)</f>
        <v>143</v>
      </c>
      <c r="E125" s="25">
        <v>8486</v>
      </c>
      <c r="F125" s="25"/>
      <c r="G125" s="10"/>
      <c r="H125" s="3"/>
    </row>
    <row r="126" spans="1:8">
      <c r="A126" s="25" t="s">
        <v>127</v>
      </c>
      <c r="B126" s="24" t="s">
        <v>40</v>
      </c>
      <c r="C126" s="25">
        <v>10</v>
      </c>
      <c r="D126" s="25">
        <v>3</v>
      </c>
      <c r="E126" s="25">
        <v>2308</v>
      </c>
      <c r="F126" s="25"/>
      <c r="G126" s="10"/>
      <c r="H126" s="3"/>
    </row>
    <row r="127" spans="1:8">
      <c r="A127" s="25" t="s">
        <v>129</v>
      </c>
      <c r="B127" s="24" t="s">
        <v>41</v>
      </c>
      <c r="C127" s="25">
        <v>139</v>
      </c>
      <c r="D127" s="25">
        <v>140</v>
      </c>
      <c r="E127" s="25">
        <v>1833</v>
      </c>
      <c r="F127" s="25"/>
      <c r="G127" s="10"/>
      <c r="H127" s="3"/>
    </row>
    <row r="128" spans="1:8">
      <c r="A128" s="25"/>
      <c r="C128" s="25"/>
      <c r="D128" s="25"/>
      <c r="E128" s="25"/>
      <c r="F128" s="25"/>
      <c r="G128" s="10"/>
      <c r="H128" s="3"/>
    </row>
    <row r="129" spans="1:8">
      <c r="A129" s="30">
        <v>29</v>
      </c>
      <c r="B129" s="6" t="s">
        <v>290</v>
      </c>
      <c r="C129" s="25"/>
      <c r="D129" s="25"/>
      <c r="E129" s="25"/>
      <c r="F129" s="25"/>
      <c r="G129" s="10"/>
      <c r="H129" s="3"/>
    </row>
    <row r="130" spans="1:8">
      <c r="A130" s="30" t="s">
        <v>165</v>
      </c>
      <c r="B130" s="6" t="s">
        <v>37</v>
      </c>
      <c r="C130" s="25">
        <v>5</v>
      </c>
      <c r="D130" s="25">
        <v>1</v>
      </c>
      <c r="E130" s="25">
        <v>24584</v>
      </c>
      <c r="F130" s="25"/>
      <c r="G130" s="10"/>
      <c r="H130" s="3"/>
    </row>
    <row r="131" spans="1:8">
      <c r="A131" s="30" t="s">
        <v>166</v>
      </c>
      <c r="B131" s="6" t="s">
        <v>79</v>
      </c>
      <c r="C131" s="25">
        <v>0</v>
      </c>
      <c r="D131" s="25">
        <v>0</v>
      </c>
      <c r="E131" s="25">
        <v>37053</v>
      </c>
      <c r="F131" s="25"/>
      <c r="G131" s="10"/>
      <c r="H131" s="3"/>
    </row>
    <row r="132" spans="1:8">
      <c r="A132" s="30" t="s">
        <v>291</v>
      </c>
      <c r="B132" s="29" t="s">
        <v>222</v>
      </c>
      <c r="C132" s="30">
        <v>45</v>
      </c>
      <c r="D132" s="30"/>
      <c r="E132" s="30"/>
      <c r="F132" s="30"/>
      <c r="G132" s="6"/>
      <c r="H132" s="122"/>
    </row>
    <row r="133" spans="1:8">
      <c r="A133" s="30" t="s">
        <v>292</v>
      </c>
      <c r="B133" s="29" t="s">
        <v>293</v>
      </c>
      <c r="C133" s="30">
        <v>2376</v>
      </c>
      <c r="D133" s="30">
        <v>2945</v>
      </c>
      <c r="E133" s="30">
        <v>2157256</v>
      </c>
      <c r="F133" s="30"/>
      <c r="G133" s="6"/>
      <c r="H133" s="122"/>
    </row>
    <row r="134" spans="1:8">
      <c r="A134" s="30" t="s">
        <v>294</v>
      </c>
      <c r="B134" s="29" t="s">
        <v>223</v>
      </c>
      <c r="C134" s="30">
        <v>2265</v>
      </c>
      <c r="D134" s="30">
        <v>139</v>
      </c>
      <c r="E134" s="30">
        <v>2133505</v>
      </c>
      <c r="F134" s="30"/>
      <c r="G134" s="6"/>
      <c r="H134" s="122"/>
    </row>
    <row r="135" spans="1:8">
      <c r="A135" s="30" t="s">
        <v>295</v>
      </c>
      <c r="B135" s="37" t="s">
        <v>224</v>
      </c>
      <c r="C135" s="30">
        <v>111</v>
      </c>
      <c r="D135" s="30">
        <v>2806</v>
      </c>
      <c r="E135" s="30">
        <v>23751</v>
      </c>
      <c r="F135" s="30"/>
      <c r="G135" s="6"/>
      <c r="H135" s="122"/>
    </row>
    <row r="136" spans="1:8">
      <c r="A136" s="30" t="s">
        <v>296</v>
      </c>
      <c r="B136" s="37" t="s">
        <v>225</v>
      </c>
      <c r="C136" s="30">
        <v>0</v>
      </c>
      <c r="D136" s="30">
        <v>1867</v>
      </c>
      <c r="E136" s="30">
        <v>39772</v>
      </c>
      <c r="F136" s="30"/>
      <c r="G136" s="6"/>
      <c r="H136" s="122"/>
    </row>
    <row r="137" spans="1:8">
      <c r="A137" s="25"/>
      <c r="B137" s="6" t="s">
        <v>297</v>
      </c>
      <c r="C137" s="25"/>
      <c r="D137" s="25"/>
      <c r="E137" s="25"/>
      <c r="F137" s="25"/>
      <c r="G137" s="10"/>
      <c r="H137" s="3"/>
    </row>
    <row r="138" spans="1:8">
      <c r="A138" s="38" t="s">
        <v>298</v>
      </c>
      <c r="B138" s="37" t="s">
        <v>197</v>
      </c>
      <c r="C138" s="30">
        <v>84</v>
      </c>
      <c r="D138" s="30">
        <v>0</v>
      </c>
      <c r="E138" s="30">
        <v>84</v>
      </c>
      <c r="F138" s="30"/>
      <c r="G138" s="6"/>
      <c r="H138" s="122"/>
    </row>
    <row r="139" spans="1:8" ht="51" customHeight="1">
      <c r="A139" s="38" t="s">
        <v>299</v>
      </c>
      <c r="B139" s="37" t="s">
        <v>198</v>
      </c>
      <c r="C139" s="30">
        <v>14409</v>
      </c>
      <c r="D139" s="30">
        <v>0</v>
      </c>
      <c r="E139" s="30">
        <v>14409</v>
      </c>
      <c r="F139" s="649"/>
      <c r="G139" s="33" t="s">
        <v>696</v>
      </c>
      <c r="H139" s="122"/>
    </row>
    <row r="140" spans="1:8">
      <c r="A140" s="38" t="s">
        <v>300</v>
      </c>
      <c r="B140" s="37" t="s">
        <v>199</v>
      </c>
      <c r="C140" s="30">
        <v>48.765000000000001</v>
      </c>
      <c r="D140" s="30">
        <v>0</v>
      </c>
      <c r="E140" s="30">
        <v>78.36</v>
      </c>
      <c r="F140" s="30"/>
      <c r="G140" s="6"/>
      <c r="H140" s="122"/>
    </row>
    <row r="141" spans="1:8">
      <c r="A141" s="38" t="s">
        <v>301</v>
      </c>
      <c r="B141" s="37" t="s">
        <v>200</v>
      </c>
      <c r="C141" s="30">
        <v>1049403</v>
      </c>
      <c r="D141" s="30" t="s">
        <v>201</v>
      </c>
      <c r="E141" s="30" t="s">
        <v>201</v>
      </c>
      <c r="F141" s="30"/>
      <c r="G141" s="6"/>
      <c r="H141" s="122"/>
    </row>
    <row r="142" spans="1:8">
      <c r="A142" s="30" t="s">
        <v>302</v>
      </c>
      <c r="B142" s="37" t="s">
        <v>220</v>
      </c>
      <c r="C142" s="30">
        <v>69</v>
      </c>
      <c r="D142" s="30">
        <v>2</v>
      </c>
      <c r="E142" s="30">
        <v>4427</v>
      </c>
      <c r="F142" s="30"/>
      <c r="G142" s="6"/>
      <c r="H142" s="122"/>
    </row>
    <row r="143" spans="1:8">
      <c r="A143" s="30" t="s">
        <v>303</v>
      </c>
      <c r="B143" s="37" t="s">
        <v>221</v>
      </c>
      <c r="C143" s="30"/>
      <c r="D143" s="30"/>
      <c r="E143" s="30"/>
      <c r="F143" s="30"/>
      <c r="G143" s="6"/>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1489611</v>
      </c>
    </row>
    <row r="148" spans="1:9">
      <c r="A148" s="27" t="s">
        <v>169</v>
      </c>
      <c r="B148" s="10" t="s">
        <v>167</v>
      </c>
      <c r="C148" s="9">
        <v>840370</v>
      </c>
    </row>
    <row r="149" spans="1:9">
      <c r="A149" s="27" t="s">
        <v>171</v>
      </c>
      <c r="B149" s="10" t="s">
        <v>168</v>
      </c>
      <c r="C149" s="9">
        <v>649241</v>
      </c>
    </row>
    <row r="150" spans="1:9" ht="24.75">
      <c r="A150" s="38">
        <v>31</v>
      </c>
      <c r="B150" s="33" t="s">
        <v>305</v>
      </c>
      <c r="C150" s="9"/>
    </row>
    <row r="151" spans="1:9">
      <c r="A151" s="27" t="s">
        <v>137</v>
      </c>
      <c r="B151" s="10" t="s">
        <v>170</v>
      </c>
      <c r="C151" s="9">
        <v>97568</v>
      </c>
    </row>
    <row r="152" spans="1:9">
      <c r="A152" s="27" t="s">
        <v>138</v>
      </c>
      <c r="B152" s="10" t="s">
        <v>172</v>
      </c>
      <c r="C152" s="9" t="s">
        <v>400</v>
      </c>
    </row>
    <row r="153" spans="1:9">
      <c r="A153" s="27"/>
      <c r="B153" s="10"/>
      <c r="C153" s="9"/>
    </row>
    <row r="154" spans="1:9">
      <c r="A154" s="30"/>
      <c r="B154" s="1201" t="s">
        <v>306</v>
      </c>
      <c r="C154" s="1202"/>
    </row>
    <row r="155" spans="1:9">
      <c r="A155" s="30">
        <v>32</v>
      </c>
      <c r="B155" s="26" t="s">
        <v>307</v>
      </c>
      <c r="C155" s="52">
        <f>SUM(C156,C157,C163)</f>
        <v>148494</v>
      </c>
    </row>
    <row r="156" spans="1:9">
      <c r="A156" s="25" t="s">
        <v>308</v>
      </c>
      <c r="B156" s="28" t="s">
        <v>69</v>
      </c>
      <c r="C156" s="25">
        <v>66753</v>
      </c>
    </row>
    <row r="157" spans="1:9">
      <c r="A157" s="27" t="s">
        <v>309</v>
      </c>
      <c r="B157" s="28" t="s">
        <v>70</v>
      </c>
      <c r="C157" s="25">
        <v>41813</v>
      </c>
    </row>
    <row r="158" spans="1:9">
      <c r="A158" s="30">
        <v>33</v>
      </c>
      <c r="B158" s="41" t="s">
        <v>71</v>
      </c>
      <c r="C158" s="25">
        <v>20274</v>
      </c>
    </row>
    <row r="159" spans="1:9">
      <c r="A159" s="30">
        <v>34</v>
      </c>
      <c r="B159" s="26" t="s">
        <v>310</v>
      </c>
      <c r="C159" s="52">
        <v>2658</v>
      </c>
    </row>
    <row r="160" spans="1:9">
      <c r="A160" s="25" t="s">
        <v>173</v>
      </c>
      <c r="B160" s="28" t="s">
        <v>72</v>
      </c>
      <c r="C160" s="25">
        <v>108</v>
      </c>
    </row>
    <row r="161" spans="1:7">
      <c r="A161" s="27" t="s">
        <v>175</v>
      </c>
      <c r="B161" s="28" t="s">
        <v>73</v>
      </c>
      <c r="C161" s="25">
        <v>1171</v>
      </c>
    </row>
    <row r="162" spans="1:7">
      <c r="A162" s="27" t="s">
        <v>177</v>
      </c>
      <c r="B162" s="28" t="s">
        <v>214</v>
      </c>
      <c r="C162" s="25">
        <v>1379</v>
      </c>
    </row>
    <row r="163" spans="1:7">
      <c r="A163" s="23">
        <v>35</v>
      </c>
      <c r="B163" s="26" t="s">
        <v>311</v>
      </c>
      <c r="C163" s="52">
        <v>39928</v>
      </c>
    </row>
    <row r="164" spans="1:7">
      <c r="A164" s="39" t="s">
        <v>312</v>
      </c>
      <c r="B164" s="41" t="s">
        <v>174</v>
      </c>
      <c r="C164" s="25">
        <v>39485</v>
      </c>
    </row>
    <row r="165" spans="1:7">
      <c r="A165" s="27" t="s">
        <v>313</v>
      </c>
      <c r="B165" s="41" t="s">
        <v>176</v>
      </c>
      <c r="C165" s="25">
        <v>382</v>
      </c>
    </row>
    <row r="166" spans="1:7">
      <c r="A166" s="27" t="s">
        <v>314</v>
      </c>
      <c r="B166" s="41" t="s">
        <v>178</v>
      </c>
      <c r="C166" s="25">
        <v>60</v>
      </c>
    </row>
    <row r="168" spans="1:7">
      <c r="A168" s="23"/>
      <c r="B168" s="129" t="s">
        <v>87</v>
      </c>
      <c r="C168" s="127"/>
      <c r="D168" s="127"/>
      <c r="E168" s="130"/>
      <c r="F168" s="131"/>
    </row>
    <row r="169" spans="1:7">
      <c r="A169" s="23">
        <v>36</v>
      </c>
      <c r="B169" s="132" t="s">
        <v>74</v>
      </c>
      <c r="C169" s="133">
        <v>2734</v>
      </c>
      <c r="D169" s="134"/>
      <c r="E169" s="46"/>
      <c r="F169" s="46"/>
      <c r="G169" s="135"/>
    </row>
    <row r="170" spans="1:7">
      <c r="A170" s="23">
        <v>37</v>
      </c>
      <c r="B170" s="41" t="s">
        <v>75</v>
      </c>
      <c r="C170" s="136">
        <v>2613</v>
      </c>
      <c r="D170" s="134"/>
      <c r="E170" s="46"/>
      <c r="F170" s="46"/>
      <c r="G170" s="135"/>
    </row>
    <row r="171" spans="1:7">
      <c r="A171" s="23">
        <v>38</v>
      </c>
      <c r="B171" s="26" t="s">
        <v>315</v>
      </c>
      <c r="C171" s="54">
        <f>SUM(C172:C174)</f>
        <v>5347</v>
      </c>
      <c r="D171" s="137"/>
      <c r="E171" s="138"/>
      <c r="F171" s="138"/>
      <c r="G171" s="138"/>
    </row>
    <row r="172" spans="1:7">
      <c r="A172" s="39" t="s">
        <v>118</v>
      </c>
      <c r="B172" s="28" t="s">
        <v>208</v>
      </c>
      <c r="C172" s="133">
        <v>564</v>
      </c>
      <c r="D172" s="134"/>
      <c r="E172" s="46"/>
      <c r="F172" s="46"/>
      <c r="G172" s="135"/>
    </row>
    <row r="173" spans="1:7">
      <c r="A173" s="39" t="s">
        <v>119</v>
      </c>
      <c r="B173" s="28" t="s">
        <v>209</v>
      </c>
      <c r="C173" s="40">
        <v>2292</v>
      </c>
      <c r="D173" s="134"/>
      <c r="E173" s="46"/>
      <c r="F173" s="46"/>
      <c r="G173" s="135"/>
    </row>
    <row r="174" spans="1:7">
      <c r="A174" s="27" t="s">
        <v>120</v>
      </c>
      <c r="B174" s="28" t="s">
        <v>210</v>
      </c>
      <c r="C174" s="40">
        <v>2491</v>
      </c>
      <c r="D174" s="134"/>
      <c r="E174" s="46"/>
      <c r="F174" s="46"/>
      <c r="G174" s="135"/>
    </row>
    <row r="175" spans="1:7">
      <c r="A175" s="23">
        <v>39</v>
      </c>
      <c r="B175" s="26" t="s">
        <v>316</v>
      </c>
      <c r="C175" s="54">
        <f>SUM(C176:C178)</f>
        <v>13014</v>
      </c>
      <c r="D175" s="134"/>
      <c r="E175" s="46"/>
      <c r="F175" s="46"/>
      <c r="G175" s="135"/>
    </row>
    <row r="176" spans="1:7">
      <c r="A176" s="39" t="s">
        <v>317</v>
      </c>
      <c r="B176" s="28" t="s">
        <v>76</v>
      </c>
      <c r="C176" s="40">
        <v>3063</v>
      </c>
      <c r="D176" s="134"/>
      <c r="E176" s="46"/>
      <c r="F176" s="46"/>
      <c r="G176" s="135"/>
    </row>
    <row r="177" spans="1:7">
      <c r="A177" s="39" t="s">
        <v>318</v>
      </c>
      <c r="B177" s="28" t="s">
        <v>77</v>
      </c>
      <c r="C177" s="40">
        <v>11</v>
      </c>
      <c r="D177" s="134"/>
      <c r="E177" s="46"/>
      <c r="F177" s="46"/>
      <c r="G177" s="135"/>
    </row>
    <row r="178" spans="1:7">
      <c r="A178" s="27" t="s">
        <v>319</v>
      </c>
      <c r="B178" s="28" t="s">
        <v>78</v>
      </c>
      <c r="C178" s="40">
        <v>9940</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1531</v>
      </c>
      <c r="D181" s="134"/>
      <c r="E181" s="46"/>
      <c r="F181" s="46"/>
      <c r="G181" s="135"/>
    </row>
    <row r="182" spans="1:7">
      <c r="A182" s="23">
        <v>41</v>
      </c>
      <c r="B182" s="41" t="s">
        <v>75</v>
      </c>
      <c r="C182" s="40">
        <v>9934</v>
      </c>
      <c r="D182" s="134"/>
      <c r="E182" s="46"/>
      <c r="F182" s="46"/>
      <c r="G182" s="135"/>
    </row>
    <row r="183" spans="1:7">
      <c r="A183" s="23">
        <v>42</v>
      </c>
      <c r="B183" s="26" t="s">
        <v>320</v>
      </c>
      <c r="C183" s="54">
        <f>SUM(C184:C186)</f>
        <v>11465</v>
      </c>
      <c r="D183" s="134"/>
      <c r="E183" s="46"/>
      <c r="F183" s="46"/>
      <c r="G183" s="135"/>
    </row>
    <row r="184" spans="1:7">
      <c r="A184" s="39" t="s">
        <v>96</v>
      </c>
      <c r="B184" s="28" t="s">
        <v>211</v>
      </c>
      <c r="C184" s="136">
        <v>3197</v>
      </c>
      <c r="D184" s="134"/>
      <c r="E184" s="46"/>
      <c r="F184" s="46"/>
      <c r="G184" s="135"/>
    </row>
    <row r="185" spans="1:7">
      <c r="A185" s="39" t="s">
        <v>97</v>
      </c>
      <c r="B185" s="28" t="s">
        <v>212</v>
      </c>
      <c r="C185" s="40">
        <v>1784</v>
      </c>
      <c r="D185" s="140"/>
      <c r="E185" s="141"/>
      <c r="F185" s="46"/>
      <c r="G185" s="135"/>
    </row>
    <row r="186" spans="1:7">
      <c r="A186" s="27" t="s">
        <v>98</v>
      </c>
      <c r="B186" s="28" t="s">
        <v>213</v>
      </c>
      <c r="C186" s="25">
        <v>6484</v>
      </c>
      <c r="D186" s="25"/>
      <c r="E186" s="25"/>
      <c r="F186" s="46"/>
    </row>
    <row r="187" spans="1:7">
      <c r="A187" s="23">
        <v>43</v>
      </c>
      <c r="B187" s="26" t="s">
        <v>321</v>
      </c>
      <c r="C187" s="54">
        <f>SUM(C188:C190)</f>
        <v>10012</v>
      </c>
      <c r="D187" s="25"/>
      <c r="E187" s="25"/>
      <c r="F187" s="46"/>
    </row>
    <row r="188" spans="1:7">
      <c r="A188" s="39" t="s">
        <v>100</v>
      </c>
      <c r="B188" s="28" t="s">
        <v>76</v>
      </c>
      <c r="C188" s="40">
        <v>2788</v>
      </c>
      <c r="D188" s="25"/>
      <c r="E188" s="25"/>
      <c r="F188" s="46"/>
    </row>
    <row r="189" spans="1:7">
      <c r="A189" s="39" t="s">
        <v>101</v>
      </c>
      <c r="B189" s="28" t="s">
        <v>77</v>
      </c>
      <c r="C189" s="40">
        <v>45</v>
      </c>
      <c r="D189" s="25"/>
      <c r="E189" s="25"/>
      <c r="F189" s="46"/>
    </row>
    <row r="190" spans="1:7">
      <c r="A190" s="25" t="s">
        <v>102</v>
      </c>
      <c r="B190" s="13" t="s">
        <v>78</v>
      </c>
      <c r="C190" s="40">
        <v>7179</v>
      </c>
      <c r="D190" s="25"/>
      <c r="E190" s="25"/>
      <c r="F190" s="46"/>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f>SUM(C195:C197)</f>
        <v>352</v>
      </c>
      <c r="D194" s="52">
        <f>SUM(D195:D197)</f>
        <v>0</v>
      </c>
      <c r="E194" s="52">
        <f>SUM(E195:E197)</f>
        <v>0</v>
      </c>
      <c r="F194" s="145"/>
    </row>
    <row r="195" spans="1:6">
      <c r="A195" s="25" t="s">
        <v>121</v>
      </c>
      <c r="B195" s="13" t="s">
        <v>181</v>
      </c>
      <c r="C195" s="40">
        <v>332</v>
      </c>
      <c r="D195" s="25"/>
      <c r="E195" s="25"/>
      <c r="F195" s="46"/>
    </row>
    <row r="196" spans="1:6">
      <c r="A196" s="25" t="s">
        <v>122</v>
      </c>
      <c r="B196" s="13" t="s">
        <v>182</v>
      </c>
      <c r="C196" s="40">
        <v>4</v>
      </c>
      <c r="D196" s="25"/>
      <c r="E196" s="25"/>
      <c r="F196" s="46"/>
    </row>
    <row r="197" spans="1:6">
      <c r="A197" s="27" t="s">
        <v>123</v>
      </c>
      <c r="B197" s="13" t="s">
        <v>180</v>
      </c>
      <c r="C197" s="40">
        <v>16</v>
      </c>
      <c r="D197" s="25"/>
      <c r="E197" s="25"/>
      <c r="F197" s="46"/>
    </row>
    <row r="198" spans="1:6">
      <c r="A198" s="30">
        <v>45</v>
      </c>
      <c r="B198" s="6" t="s">
        <v>324</v>
      </c>
      <c r="C198" s="54">
        <v>11627</v>
      </c>
      <c r="D198" s="52">
        <f>SUM(D199:D201)</f>
        <v>0</v>
      </c>
      <c r="E198" s="52">
        <f>SUM(E199:E201)</f>
        <v>0</v>
      </c>
      <c r="F198" s="145"/>
    </row>
    <row r="199" spans="1:6">
      <c r="A199" s="25" t="s">
        <v>325</v>
      </c>
      <c r="B199" s="13" t="s">
        <v>80</v>
      </c>
      <c r="C199" s="40">
        <v>9167</v>
      </c>
      <c r="D199" s="25"/>
      <c r="E199" s="25"/>
      <c r="F199" s="46"/>
    </row>
    <row r="200" spans="1:6">
      <c r="A200" s="25" t="s">
        <v>326</v>
      </c>
      <c r="B200" s="13" t="s">
        <v>60</v>
      </c>
      <c r="C200" s="40">
        <v>100</v>
      </c>
      <c r="D200" s="25"/>
      <c r="E200" s="25"/>
      <c r="F200" s="46"/>
    </row>
    <row r="201" spans="1:6">
      <c r="A201" s="27" t="s">
        <v>327</v>
      </c>
      <c r="B201" s="13" t="s">
        <v>180</v>
      </c>
      <c r="C201" s="40">
        <v>2360</v>
      </c>
      <c r="D201" s="25"/>
      <c r="E201" s="25"/>
      <c r="F201" s="46"/>
    </row>
    <row r="202" spans="1:6">
      <c r="A202" s="44"/>
      <c r="B202" s="45"/>
      <c r="C202" s="46"/>
      <c r="D202" s="146"/>
      <c r="E202" s="147"/>
      <c r="F202" s="46"/>
    </row>
    <row r="203" spans="1:6">
      <c r="A203" s="30">
        <v>46</v>
      </c>
      <c r="B203" s="10" t="s">
        <v>203</v>
      </c>
      <c r="C203" s="40">
        <v>0</v>
      </c>
      <c r="D203" s="25"/>
      <c r="E203" s="25"/>
      <c r="F203" s="46"/>
    </row>
    <row r="204" spans="1:6">
      <c r="A204" s="30">
        <v>47</v>
      </c>
      <c r="B204" s="49" t="s">
        <v>204</v>
      </c>
      <c r="C204" s="40">
        <v>0</v>
      </c>
      <c r="D204" s="25"/>
      <c r="E204" s="25"/>
      <c r="F204" s="46"/>
    </row>
    <row r="205" spans="1:6">
      <c r="A205" s="30">
        <v>48</v>
      </c>
      <c r="B205" s="10" t="s">
        <v>179</v>
      </c>
      <c r="C205" s="40">
        <v>16</v>
      </c>
      <c r="D205" s="25"/>
      <c r="E205" s="25"/>
      <c r="F205" s="46"/>
    </row>
    <row r="206" spans="1:6">
      <c r="A206" s="30">
        <v>49</v>
      </c>
      <c r="B206" s="10" t="s">
        <v>61</v>
      </c>
      <c r="C206" s="40">
        <v>862</v>
      </c>
      <c r="D206" s="25"/>
      <c r="E206" s="25"/>
      <c r="F206" s="46"/>
    </row>
    <row r="207" spans="1:6">
      <c r="A207" s="148">
        <v>50</v>
      </c>
      <c r="B207" s="48" t="s">
        <v>202</v>
      </c>
      <c r="C207" s="47">
        <v>145</v>
      </c>
      <c r="D207" s="149">
        <v>56</v>
      </c>
      <c r="E207" s="150">
        <v>25</v>
      </c>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c r="D211" s="52"/>
      <c r="E211" s="9"/>
      <c r="F211" s="10"/>
    </row>
    <row r="212" spans="1:6" s="1" customFormat="1">
      <c r="A212" s="27" t="s">
        <v>329</v>
      </c>
      <c r="B212" s="13" t="s">
        <v>226</v>
      </c>
      <c r="C212" s="9">
        <v>5</v>
      </c>
      <c r="D212" s="9">
        <v>0</v>
      </c>
      <c r="E212" s="9">
        <v>275</v>
      </c>
      <c r="F212" s="10"/>
    </row>
    <row r="213" spans="1:6" s="1" customFormat="1">
      <c r="A213" s="27" t="s">
        <v>330</v>
      </c>
      <c r="B213" s="35" t="s">
        <v>128</v>
      </c>
      <c r="C213" s="9">
        <v>5</v>
      </c>
      <c r="D213" s="9">
        <v>0</v>
      </c>
      <c r="E213" s="9">
        <v>260</v>
      </c>
      <c r="F213" s="10"/>
    </row>
    <row r="214" spans="1:6" s="1" customFormat="1">
      <c r="A214" s="27" t="s">
        <v>331</v>
      </c>
      <c r="B214" s="13" t="s">
        <v>227</v>
      </c>
      <c r="C214" s="9">
        <v>20</v>
      </c>
      <c r="D214" s="9">
        <v>20</v>
      </c>
      <c r="E214" s="9">
        <v>40</v>
      </c>
      <c r="F214" s="10"/>
    </row>
    <row r="215" spans="1:6" s="1" customFormat="1">
      <c r="A215" s="27" t="s">
        <v>332</v>
      </c>
      <c r="B215" s="35" t="s">
        <v>130</v>
      </c>
      <c r="C215" s="9">
        <v>20</v>
      </c>
      <c r="D215" s="9">
        <v>20</v>
      </c>
      <c r="E215" s="9">
        <v>40</v>
      </c>
      <c r="F215" s="10"/>
    </row>
    <row r="216" spans="1:6" s="1" customFormat="1">
      <c r="A216" s="27" t="s">
        <v>333</v>
      </c>
      <c r="B216" s="13" t="s">
        <v>232</v>
      </c>
      <c r="C216" s="9">
        <v>0</v>
      </c>
      <c r="D216" s="9">
        <v>0</v>
      </c>
      <c r="E216" s="9">
        <v>1</v>
      </c>
      <c r="F216" s="10"/>
    </row>
    <row r="217" spans="1:6" s="1" customFormat="1">
      <c r="A217" s="27" t="s">
        <v>334</v>
      </c>
      <c r="B217" s="35" t="s">
        <v>131</v>
      </c>
      <c r="C217" s="9">
        <v>0</v>
      </c>
      <c r="D217" s="9">
        <v>0</v>
      </c>
      <c r="E217" s="9">
        <v>0</v>
      </c>
      <c r="F217" s="10"/>
    </row>
    <row r="218" spans="1:6" s="1" customFormat="1">
      <c r="A218" s="27" t="s">
        <v>335</v>
      </c>
      <c r="B218" s="13" t="s">
        <v>233</v>
      </c>
      <c r="C218" s="9">
        <v>0</v>
      </c>
      <c r="D218" s="9">
        <v>45</v>
      </c>
      <c r="E218" s="9">
        <v>20</v>
      </c>
      <c r="F218" s="10"/>
    </row>
    <row r="219" spans="1:6" s="1" customFormat="1">
      <c r="A219" s="27" t="s">
        <v>336</v>
      </c>
      <c r="B219" s="35" t="s">
        <v>132</v>
      </c>
      <c r="C219" s="9">
        <v>0</v>
      </c>
      <c r="D219" s="9">
        <v>0</v>
      </c>
      <c r="E219" s="9">
        <v>0</v>
      </c>
      <c r="F219" s="10"/>
    </row>
    <row r="220" spans="1:6" s="1" customFormat="1">
      <c r="A220" s="27" t="s">
        <v>337</v>
      </c>
      <c r="B220" s="13" t="s">
        <v>234</v>
      </c>
      <c r="C220" s="9">
        <v>14</v>
      </c>
      <c r="D220" s="9">
        <v>14</v>
      </c>
      <c r="E220" s="9">
        <v>23</v>
      </c>
      <c r="F220" s="10"/>
    </row>
    <row r="221" spans="1:6" s="1" customFormat="1">
      <c r="A221" s="27" t="s">
        <v>338</v>
      </c>
      <c r="B221" s="35" t="s">
        <v>133</v>
      </c>
      <c r="C221" s="9">
        <v>14</v>
      </c>
      <c r="D221" s="9">
        <v>14</v>
      </c>
      <c r="E221" s="9">
        <v>21</v>
      </c>
      <c r="F221" s="10"/>
    </row>
    <row r="222" spans="1:6" s="1" customFormat="1">
      <c r="A222" s="27" t="s">
        <v>339</v>
      </c>
      <c r="B222" s="13" t="s">
        <v>235</v>
      </c>
      <c r="C222" s="9">
        <v>5</v>
      </c>
      <c r="D222" s="9">
        <v>1</v>
      </c>
      <c r="E222" s="9">
        <v>9</v>
      </c>
      <c r="F222" s="10"/>
    </row>
    <row r="223" spans="1:6" s="1" customFormat="1">
      <c r="A223" s="27" t="s">
        <v>340</v>
      </c>
      <c r="B223" s="35" t="s">
        <v>134</v>
      </c>
      <c r="C223" s="9">
        <v>0</v>
      </c>
      <c r="D223" s="9">
        <v>0</v>
      </c>
      <c r="E223" s="9">
        <v>5</v>
      </c>
      <c r="F223" s="10"/>
    </row>
    <row r="224" spans="1:6" s="1" customFormat="1">
      <c r="A224" s="27" t="s">
        <v>341</v>
      </c>
      <c r="B224" s="13" t="s">
        <v>236</v>
      </c>
      <c r="C224" s="9">
        <v>0</v>
      </c>
      <c r="D224" s="9">
        <v>0</v>
      </c>
      <c r="E224" s="9">
        <v>0</v>
      </c>
      <c r="F224" s="10"/>
    </row>
    <row r="225" spans="1:8" s="1" customFormat="1">
      <c r="A225" s="27" t="s">
        <v>342</v>
      </c>
      <c r="B225" s="35" t="s">
        <v>135</v>
      </c>
      <c r="C225" s="9">
        <v>0</v>
      </c>
      <c r="D225" s="9">
        <v>0</v>
      </c>
      <c r="E225" s="9">
        <v>0</v>
      </c>
      <c r="F225" s="10"/>
    </row>
    <row r="226" spans="1:8" s="1" customFormat="1">
      <c r="A226" s="27" t="s">
        <v>343</v>
      </c>
      <c r="B226" s="13" t="s">
        <v>237</v>
      </c>
      <c r="C226" s="9">
        <v>35</v>
      </c>
      <c r="D226" s="9">
        <v>2</v>
      </c>
      <c r="E226" s="9">
        <v>39</v>
      </c>
      <c r="F226" s="10"/>
    </row>
    <row r="227" spans="1:8" s="1" customFormat="1" ht="25.5">
      <c r="A227" s="27" t="s">
        <v>344</v>
      </c>
      <c r="B227" s="152" t="s">
        <v>136</v>
      </c>
      <c r="C227" s="9">
        <v>20</v>
      </c>
      <c r="D227" s="9">
        <v>2</v>
      </c>
      <c r="E227" s="9">
        <v>20</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569" t="s">
        <v>400</v>
      </c>
      <c r="D230" s="47"/>
      <c r="E230" s="47"/>
      <c r="F230" s="47"/>
    </row>
    <row r="231" spans="1:8">
      <c r="A231" s="27" t="s">
        <v>347</v>
      </c>
      <c r="B231" s="152" t="s">
        <v>115</v>
      </c>
      <c r="C231" s="156" t="s">
        <v>400</v>
      </c>
      <c r="D231" s="47"/>
      <c r="E231" s="47"/>
      <c r="F231" s="47"/>
    </row>
    <row r="232" spans="1:8" ht="25.5">
      <c r="A232" s="27" t="s">
        <v>348</v>
      </c>
      <c r="B232" s="155" t="s">
        <v>239</v>
      </c>
      <c r="C232" s="156">
        <v>309</v>
      </c>
      <c r="D232" s="47"/>
      <c r="E232" s="47"/>
      <c r="F232" s="47"/>
    </row>
    <row r="233" spans="1:8">
      <c r="A233" s="27" t="s">
        <v>349</v>
      </c>
      <c r="B233" s="152" t="s">
        <v>116</v>
      </c>
      <c r="C233" s="156" t="s">
        <v>400</v>
      </c>
      <c r="D233" s="47"/>
      <c r="E233" s="47"/>
      <c r="F233" s="47"/>
    </row>
    <row r="234" spans="1:8" ht="25.5">
      <c r="A234" s="27" t="s">
        <v>350</v>
      </c>
      <c r="B234" s="155" t="s">
        <v>240</v>
      </c>
      <c r="C234" s="156">
        <v>2599</v>
      </c>
      <c r="D234" s="47"/>
      <c r="E234" s="47"/>
      <c r="F234" s="47"/>
    </row>
    <row r="235" spans="1:8">
      <c r="A235" s="27" t="s">
        <v>351</v>
      </c>
      <c r="B235" s="152" t="s">
        <v>117</v>
      </c>
      <c r="C235" s="157">
        <v>165</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114</v>
      </c>
      <c r="D239" s="25"/>
      <c r="E239" s="40"/>
      <c r="F239" s="40"/>
      <c r="G239" s="10"/>
      <c r="H239" s="3"/>
    </row>
    <row r="240" spans="1:8">
      <c r="A240" s="30">
        <v>53</v>
      </c>
      <c r="B240" s="10" t="s">
        <v>63</v>
      </c>
      <c r="C240" s="25">
        <v>42136</v>
      </c>
      <c r="D240" s="25"/>
      <c r="E240" s="40"/>
      <c r="F240" s="40"/>
      <c r="G240" s="10"/>
      <c r="H240" s="3"/>
    </row>
    <row r="241" spans="1:10">
      <c r="A241" s="30">
        <v>54</v>
      </c>
      <c r="B241" s="10" t="s">
        <v>215</v>
      </c>
      <c r="C241" s="25">
        <v>135</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140.5</v>
      </c>
      <c r="D245" s="52">
        <f>SUM(D246:D251)</f>
        <v>110</v>
      </c>
      <c r="E245" s="54">
        <f>SUM(E246:E251)</f>
        <v>172</v>
      </c>
      <c r="F245" s="54">
        <f>SUM(F246:F251)</f>
        <v>101</v>
      </c>
      <c r="G245" s="52">
        <f>SUM(C245:F245)</f>
        <v>523.5</v>
      </c>
      <c r="H245" s="145"/>
    </row>
    <row r="246" spans="1:10">
      <c r="A246" s="25" t="s">
        <v>353</v>
      </c>
      <c r="B246" s="13" t="s">
        <v>64</v>
      </c>
      <c r="C246" s="25">
        <v>62</v>
      </c>
      <c r="D246" s="25">
        <v>29</v>
      </c>
      <c r="E246" s="40">
        <v>89</v>
      </c>
      <c r="F246" s="40">
        <v>62</v>
      </c>
      <c r="G246" s="10">
        <v>242</v>
      </c>
      <c r="H246" s="3"/>
      <c r="J246" s="25"/>
    </row>
    <row r="247" spans="1:10">
      <c r="A247" s="27" t="s">
        <v>354</v>
      </c>
      <c r="B247" s="13" t="s">
        <v>65</v>
      </c>
      <c r="C247" s="25">
        <v>0</v>
      </c>
      <c r="D247" s="25">
        <v>0</v>
      </c>
      <c r="E247" s="40">
        <v>0</v>
      </c>
      <c r="F247" s="40">
        <v>0</v>
      </c>
      <c r="G247" s="10">
        <v>0</v>
      </c>
      <c r="H247" s="3"/>
    </row>
    <row r="248" spans="1:10">
      <c r="A248" s="27" t="s">
        <v>355</v>
      </c>
      <c r="B248" s="13" t="s">
        <v>66</v>
      </c>
      <c r="C248" s="25">
        <v>0.5</v>
      </c>
      <c r="D248" s="25">
        <v>1</v>
      </c>
      <c r="E248" s="40">
        <v>8</v>
      </c>
      <c r="F248" s="40">
        <v>5</v>
      </c>
      <c r="G248" s="10">
        <v>14.5</v>
      </c>
      <c r="H248" s="3"/>
    </row>
    <row r="249" spans="1:10">
      <c r="A249" s="27" t="s">
        <v>356</v>
      </c>
      <c r="B249" s="13" t="s">
        <v>67</v>
      </c>
      <c r="C249" s="25">
        <v>11</v>
      </c>
      <c r="D249" s="25">
        <v>4</v>
      </c>
      <c r="E249" s="40">
        <v>10</v>
      </c>
      <c r="F249" s="40">
        <v>4</v>
      </c>
      <c r="G249" s="10">
        <v>29</v>
      </c>
      <c r="H249" s="3"/>
    </row>
    <row r="250" spans="1:10">
      <c r="A250" s="25" t="s">
        <v>357</v>
      </c>
      <c r="B250" s="13" t="s">
        <v>68</v>
      </c>
      <c r="C250" s="25">
        <v>5</v>
      </c>
      <c r="D250" s="25">
        <v>18</v>
      </c>
      <c r="E250" s="40">
        <v>41</v>
      </c>
      <c r="F250" s="40">
        <v>28</v>
      </c>
      <c r="G250" s="10">
        <v>92</v>
      </c>
      <c r="H250" s="3"/>
    </row>
    <row r="251" spans="1:10" ht="24.75">
      <c r="A251" s="27" t="s">
        <v>358</v>
      </c>
      <c r="B251" s="155" t="s">
        <v>183</v>
      </c>
      <c r="C251" s="25">
        <v>62</v>
      </c>
      <c r="D251" s="25">
        <v>58</v>
      </c>
      <c r="E251" s="40">
        <v>24</v>
      </c>
      <c r="F251" s="40">
        <v>2</v>
      </c>
      <c r="G251" s="10">
        <v>146</v>
      </c>
      <c r="H251" s="3"/>
    </row>
    <row r="252" spans="1:10" ht="15">
      <c r="B252" s="161"/>
      <c r="C252" s="164"/>
    </row>
  </sheetData>
  <mergeCells count="82">
    <mergeCell ref="A5:A6"/>
    <mergeCell ref="A7:A8"/>
    <mergeCell ref="A13:A14"/>
    <mergeCell ref="A16:G16"/>
    <mergeCell ref="D17:E17"/>
    <mergeCell ref="D18:E18"/>
    <mergeCell ref="D19:E19"/>
    <mergeCell ref="D20:E20"/>
    <mergeCell ref="D21:E21"/>
    <mergeCell ref="D22:E22"/>
    <mergeCell ref="A23:G23"/>
    <mergeCell ref="A24:G24"/>
    <mergeCell ref="D25:E25"/>
    <mergeCell ref="D26:E26"/>
    <mergeCell ref="D27:E27"/>
    <mergeCell ref="D28:E28"/>
    <mergeCell ref="D29:E29"/>
    <mergeCell ref="D31:E31"/>
    <mergeCell ref="D32:E32"/>
    <mergeCell ref="D33:E33"/>
    <mergeCell ref="D34:E34"/>
    <mergeCell ref="D35:E35"/>
    <mergeCell ref="D36:E36"/>
    <mergeCell ref="D37:E37"/>
    <mergeCell ref="D38:E38"/>
    <mergeCell ref="D39:E39"/>
    <mergeCell ref="A40:G40"/>
    <mergeCell ref="A41:G41"/>
    <mergeCell ref="D42:E42"/>
    <mergeCell ref="C43:E43"/>
    <mergeCell ref="D44:E44"/>
    <mergeCell ref="D45:E45"/>
    <mergeCell ref="D46:E46"/>
    <mergeCell ref="D48:E48"/>
    <mergeCell ref="D49:E49"/>
    <mergeCell ref="D50:E50"/>
    <mergeCell ref="D51:E51"/>
    <mergeCell ref="D52:E52"/>
    <mergeCell ref="D54:E54"/>
    <mergeCell ref="D55:E55"/>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3:E73"/>
    <mergeCell ref="D74:E74"/>
    <mergeCell ref="D75:E75"/>
    <mergeCell ref="D78:E78"/>
    <mergeCell ref="D86:E86"/>
    <mergeCell ref="D87:E87"/>
    <mergeCell ref="D88:E88"/>
    <mergeCell ref="D89:E89"/>
    <mergeCell ref="D90:E90"/>
    <mergeCell ref="D96:E96"/>
    <mergeCell ref="D97:E97"/>
    <mergeCell ref="D91:E91"/>
    <mergeCell ref="D92:E92"/>
    <mergeCell ref="D93:E93"/>
    <mergeCell ref="D94:E94"/>
    <mergeCell ref="D95:E95"/>
    <mergeCell ref="A237:G237"/>
    <mergeCell ref="A99:G99"/>
    <mergeCell ref="A101:A102"/>
    <mergeCell ref="B101:B102"/>
    <mergeCell ref="C101:E102"/>
    <mergeCell ref="G101:G102"/>
    <mergeCell ref="A144:G144"/>
    <mergeCell ref="A145:G145"/>
    <mergeCell ref="B154:C154"/>
    <mergeCell ref="D192:E192"/>
  </mergeCells>
  <hyperlinks>
    <hyperlink ref="B9" r:id="rId1"/>
  </hyperlinks>
  <pageMargins left="0.7" right="0.7" top="0.75" bottom="0.75" header="0.3" footer="0.3"/>
  <legacyDrawing r:id="rId2"/>
</worksheet>
</file>

<file path=xl/worksheets/sheet22.xml><?xml version="1.0" encoding="utf-8"?>
<worksheet xmlns="http://schemas.openxmlformats.org/spreadsheetml/2006/main" xmlns:r="http://schemas.openxmlformats.org/officeDocument/2006/relationships">
  <dimension ref="A1:J252"/>
  <sheetViews>
    <sheetView topLeftCell="A30" workbookViewId="0">
      <selection activeCell="A30" sqref="A30"/>
    </sheetView>
  </sheetViews>
  <sheetFormatPr defaultRowHeight="12.75"/>
  <cols>
    <col min="1" max="1" width="11.28515625" customWidth="1"/>
    <col min="2" max="2" width="60.28515625" customWidth="1"/>
    <col min="3" max="3" width="11.28515625" customWidth="1"/>
    <col min="4" max="4" width="10.7109375" customWidth="1"/>
    <col min="5" max="5" width="7.7109375" customWidth="1"/>
    <col min="6" max="6" width="6.28515625" customWidth="1"/>
    <col min="7" max="7" width="12.140625" customWidth="1"/>
    <col min="8" max="8" width="9.140625" customWidth="1"/>
  </cols>
  <sheetData>
    <row r="1" spans="1:8" ht="18">
      <c r="A1" s="593"/>
      <c r="B1" s="594" t="s">
        <v>241</v>
      </c>
      <c r="C1" s="594"/>
      <c r="D1" s="648" t="s">
        <v>393</v>
      </c>
      <c r="E1" s="595"/>
      <c r="F1" s="595"/>
      <c r="G1" s="594"/>
      <c r="H1" s="596"/>
    </row>
    <row r="2" spans="1:8">
      <c r="A2" s="597"/>
      <c r="B2" s="596"/>
      <c r="C2" s="597"/>
      <c r="D2" s="597"/>
      <c r="E2" s="597"/>
      <c r="F2" s="597"/>
      <c r="G2" s="596"/>
      <c r="H2" s="596"/>
    </row>
    <row r="3" spans="1:8" ht="15.75">
      <c r="A3" s="598" t="s">
        <v>161</v>
      </c>
      <c r="B3" s="599" t="s">
        <v>697</v>
      </c>
      <c r="C3" s="600"/>
      <c r="D3" s="601" t="s">
        <v>185</v>
      </c>
      <c r="E3" s="600"/>
      <c r="F3" s="600"/>
      <c r="G3" s="596"/>
      <c r="H3" s="596"/>
    </row>
    <row r="4" spans="1:8">
      <c r="A4" s="597"/>
      <c r="B4" s="596"/>
      <c r="C4" s="597"/>
      <c r="D4" s="597"/>
      <c r="E4" s="597"/>
      <c r="F4" s="597"/>
      <c r="G4" s="596"/>
      <c r="H4" s="596"/>
    </row>
    <row r="5" spans="1:8" ht="12.75" customHeight="1">
      <c r="A5" s="1237" t="s">
        <v>189</v>
      </c>
      <c r="B5" s="599" t="s">
        <v>698</v>
      </c>
      <c r="C5" s="600"/>
      <c r="D5" s="602" t="s">
        <v>186</v>
      </c>
      <c r="E5" s="600"/>
      <c r="F5" s="600"/>
      <c r="G5" s="596"/>
      <c r="H5" s="596"/>
    </row>
    <row r="6" spans="1:8" ht="20.25" customHeight="1">
      <c r="A6" s="1237"/>
      <c r="B6" s="600"/>
      <c r="C6" s="597"/>
      <c r="D6" s="603" t="s">
        <v>187</v>
      </c>
      <c r="E6" s="597"/>
      <c r="F6" s="597"/>
      <c r="G6" s="596"/>
      <c r="H6" s="596"/>
    </row>
    <row r="7" spans="1:8" ht="12.75" customHeight="1">
      <c r="A7" s="1237" t="s">
        <v>184</v>
      </c>
      <c r="B7" s="599" t="s">
        <v>699</v>
      </c>
      <c r="C7" s="600"/>
      <c r="D7" s="600"/>
      <c r="E7" s="600"/>
      <c r="F7" s="600"/>
      <c r="G7" s="596"/>
      <c r="H7" s="596"/>
    </row>
    <row r="8" spans="1:8">
      <c r="A8" s="1237"/>
      <c r="B8" s="596"/>
      <c r="C8" s="600"/>
      <c r="D8" s="603" t="s">
        <v>188</v>
      </c>
      <c r="E8" s="597"/>
      <c r="F8" s="597"/>
      <c r="G8" s="596"/>
      <c r="H8" s="596"/>
    </row>
    <row r="9" spans="1:8">
      <c r="A9" s="604" t="s">
        <v>190</v>
      </c>
      <c r="B9" s="650" t="s">
        <v>700</v>
      </c>
      <c r="C9" s="600"/>
      <c r="D9" s="597"/>
      <c r="E9" s="597"/>
      <c r="F9" s="597"/>
      <c r="G9" s="596"/>
      <c r="H9" s="596"/>
    </row>
    <row r="10" spans="1:8">
      <c r="A10" s="595"/>
      <c r="B10" s="596"/>
      <c r="C10" s="597"/>
      <c r="D10" s="605" t="s">
        <v>242</v>
      </c>
      <c r="E10" s="597"/>
      <c r="F10" s="606"/>
      <c r="G10" s="596"/>
      <c r="H10" s="596"/>
    </row>
    <row r="11" spans="1:8">
      <c r="A11" s="607" t="s">
        <v>162</v>
      </c>
      <c r="B11" s="599" t="s">
        <v>701</v>
      </c>
      <c r="C11" s="600"/>
      <c r="D11" s="597"/>
      <c r="E11" s="597"/>
      <c r="F11" s="597"/>
      <c r="G11" s="596"/>
      <c r="H11" s="596"/>
    </row>
    <row r="12" spans="1:8">
      <c r="A12" s="597"/>
      <c r="B12" s="596"/>
      <c r="C12" s="597"/>
      <c r="D12" s="595"/>
      <c r="E12" s="597"/>
      <c r="F12" s="597"/>
      <c r="G12" s="596"/>
      <c r="H12" s="596"/>
    </row>
    <row r="13" spans="1:8">
      <c r="A13" s="1238" t="s">
        <v>163</v>
      </c>
      <c r="B13" s="599" t="s">
        <v>702</v>
      </c>
      <c r="C13" s="600"/>
      <c r="D13" s="600"/>
      <c r="E13" s="597"/>
      <c r="F13" s="597"/>
      <c r="G13" s="596"/>
      <c r="H13" s="596"/>
    </row>
    <row r="14" spans="1:8">
      <c r="A14" s="1238"/>
      <c r="B14" s="596"/>
      <c r="C14" s="596"/>
      <c r="D14" s="596"/>
      <c r="E14" s="596"/>
      <c r="F14" s="596"/>
      <c r="G14" s="596"/>
      <c r="H14" s="596"/>
    </row>
    <row r="16" spans="1:8" ht="13.5">
      <c r="A16" s="1316" t="s">
        <v>359</v>
      </c>
      <c r="B16" s="1414"/>
      <c r="C16" s="1319"/>
      <c r="D16" s="1319"/>
      <c r="E16" s="1319"/>
      <c r="F16" s="1319"/>
      <c r="G16" s="1409"/>
      <c r="H16" s="608"/>
    </row>
    <row r="17" spans="1:8">
      <c r="A17" s="572" t="s">
        <v>86</v>
      </c>
      <c r="B17" s="572" t="s">
        <v>8</v>
      </c>
      <c r="C17" s="572" t="s">
        <v>0</v>
      </c>
      <c r="D17" s="1407" t="s">
        <v>149</v>
      </c>
      <c r="E17" s="1407"/>
      <c r="F17" s="609"/>
      <c r="G17" s="610"/>
      <c r="H17" s="611"/>
    </row>
    <row r="18" spans="1:8">
      <c r="A18" s="572">
        <v>1</v>
      </c>
      <c r="B18" s="573" t="s">
        <v>1</v>
      </c>
      <c r="C18" s="574">
        <v>0</v>
      </c>
      <c r="D18" s="1405"/>
      <c r="E18" s="1405"/>
      <c r="F18" s="612"/>
      <c r="G18" s="613"/>
      <c r="H18" s="600"/>
    </row>
    <row r="19" spans="1:8" ht="25.5">
      <c r="A19" s="575" t="s">
        <v>111</v>
      </c>
      <c r="B19" s="614" t="s">
        <v>228</v>
      </c>
      <c r="C19" s="574">
        <v>8</v>
      </c>
      <c r="D19" s="1405" t="s">
        <v>703</v>
      </c>
      <c r="E19" s="1405"/>
      <c r="F19" s="612"/>
      <c r="G19" s="613"/>
      <c r="H19" s="600"/>
    </row>
    <row r="20" spans="1:8" ht="25.5">
      <c r="A20" s="575" t="s">
        <v>112</v>
      </c>
      <c r="B20" s="614" t="s">
        <v>229</v>
      </c>
      <c r="C20" s="574">
        <v>35</v>
      </c>
      <c r="D20" s="1405" t="s">
        <v>703</v>
      </c>
      <c r="E20" s="1405"/>
      <c r="F20" s="612"/>
      <c r="G20" s="613"/>
      <c r="H20" s="600"/>
    </row>
    <row r="21" spans="1:8" ht="25.5">
      <c r="A21" s="575" t="s">
        <v>113</v>
      </c>
      <c r="B21" s="615" t="s">
        <v>230</v>
      </c>
      <c r="C21" s="574">
        <v>6</v>
      </c>
      <c r="D21" s="1405" t="s">
        <v>703</v>
      </c>
      <c r="E21" s="1405"/>
      <c r="F21" s="612"/>
      <c r="G21" s="613"/>
      <c r="H21" s="600"/>
    </row>
    <row r="22" spans="1:8" ht="25.5">
      <c r="A22" s="575" t="s">
        <v>114</v>
      </c>
      <c r="B22" s="615" t="s">
        <v>231</v>
      </c>
      <c r="C22" s="577">
        <v>11</v>
      </c>
      <c r="D22" s="1405" t="s">
        <v>703</v>
      </c>
      <c r="E22" s="1405"/>
      <c r="F22" s="612"/>
      <c r="G22" s="613"/>
      <c r="H22" s="600"/>
    </row>
    <row r="23" spans="1:8">
      <c r="A23" s="1313"/>
      <c r="B23" s="1408"/>
      <c r="C23" s="1319"/>
      <c r="D23" s="1319"/>
      <c r="E23" s="1319"/>
      <c r="F23" s="1319"/>
      <c r="G23" s="1409"/>
      <c r="H23" s="608"/>
    </row>
    <row r="24" spans="1:8" ht="13.5">
      <c r="A24" s="1316" t="s">
        <v>360</v>
      </c>
      <c r="B24" s="1413"/>
      <c r="C24" s="1413"/>
      <c r="D24" s="1413"/>
      <c r="E24" s="1413"/>
      <c r="F24" s="1413"/>
      <c r="G24" s="1409"/>
      <c r="H24" s="608"/>
    </row>
    <row r="25" spans="1:8">
      <c r="A25" s="572" t="s">
        <v>86</v>
      </c>
      <c r="B25" s="572" t="s">
        <v>8</v>
      </c>
      <c r="C25" s="572" t="s">
        <v>2</v>
      </c>
      <c r="D25" s="1407" t="s">
        <v>149</v>
      </c>
      <c r="E25" s="1407"/>
      <c r="F25" s="609"/>
      <c r="G25" s="610"/>
      <c r="H25" s="611"/>
    </row>
    <row r="26" spans="1:8">
      <c r="A26" s="572">
        <v>2</v>
      </c>
      <c r="B26" s="573" t="s">
        <v>243</v>
      </c>
      <c r="C26" s="586">
        <f>SUM(C27:C30)</f>
        <v>14.1</v>
      </c>
      <c r="D26" s="1405"/>
      <c r="E26" s="1405"/>
      <c r="F26" s="612"/>
      <c r="G26" s="613"/>
      <c r="H26" s="600"/>
    </row>
    <row r="27" spans="1:8">
      <c r="A27" s="574" t="s">
        <v>3</v>
      </c>
      <c r="B27" s="576" t="s">
        <v>4</v>
      </c>
      <c r="C27" s="578">
        <v>12.1</v>
      </c>
      <c r="D27" s="1405" t="s">
        <v>704</v>
      </c>
      <c r="E27" s="1405"/>
      <c r="F27" s="612"/>
      <c r="G27" s="613"/>
      <c r="H27" s="600"/>
    </row>
    <row r="28" spans="1:8">
      <c r="A28" s="575" t="s">
        <v>5</v>
      </c>
      <c r="B28" s="576" t="s">
        <v>144</v>
      </c>
      <c r="C28" s="578">
        <v>2</v>
      </c>
      <c r="D28" s="1405" t="s">
        <v>705</v>
      </c>
      <c r="E28" s="1405"/>
      <c r="F28" s="612"/>
      <c r="G28" s="613"/>
      <c r="H28" s="600"/>
    </row>
    <row r="29" spans="1:8">
      <c r="A29" s="574" t="s">
        <v>145</v>
      </c>
      <c r="B29" s="576" t="s">
        <v>146</v>
      </c>
      <c r="C29" s="578">
        <v>0</v>
      </c>
      <c r="D29" s="1309"/>
      <c r="E29" s="1412"/>
      <c r="F29" s="617"/>
      <c r="G29" s="613"/>
      <c r="H29" s="600"/>
    </row>
    <row r="30" spans="1:8">
      <c r="A30" s="574" t="s">
        <v>244</v>
      </c>
      <c r="B30" s="576" t="s">
        <v>245</v>
      </c>
      <c r="C30" s="578">
        <v>0</v>
      </c>
      <c r="D30" s="616"/>
      <c r="E30" s="617"/>
      <c r="F30" s="617"/>
      <c r="G30" s="613"/>
      <c r="H30" s="600"/>
    </row>
    <row r="31" spans="1:8">
      <c r="A31" s="572">
        <v>3</v>
      </c>
      <c r="B31" s="573" t="s">
        <v>14</v>
      </c>
      <c r="C31" s="586">
        <v>26.25</v>
      </c>
      <c r="D31" s="1405"/>
      <c r="E31" s="1405"/>
      <c r="F31" s="612"/>
      <c r="G31" s="613"/>
      <c r="H31" s="600"/>
    </row>
    <row r="32" spans="1:8">
      <c r="A32" s="574" t="s">
        <v>6</v>
      </c>
      <c r="B32" s="576" t="s">
        <v>7</v>
      </c>
      <c r="C32" s="578">
        <v>20.25</v>
      </c>
      <c r="D32" s="1405"/>
      <c r="E32" s="1405"/>
      <c r="F32" s="612"/>
      <c r="G32" s="613"/>
      <c r="H32" s="600"/>
    </row>
    <row r="33" spans="1:8">
      <c r="A33" s="575" t="s">
        <v>12</v>
      </c>
      <c r="B33" s="576" t="s">
        <v>15</v>
      </c>
      <c r="C33" s="578">
        <v>4</v>
      </c>
      <c r="D33" s="1405"/>
      <c r="E33" s="1405"/>
      <c r="F33" s="612"/>
      <c r="G33" s="613"/>
      <c r="H33" s="600"/>
    </row>
    <row r="34" spans="1:8">
      <c r="A34" s="575" t="s">
        <v>13</v>
      </c>
      <c r="B34" s="576" t="s">
        <v>148</v>
      </c>
      <c r="C34" s="578">
        <v>2</v>
      </c>
      <c r="D34" s="1405"/>
      <c r="E34" s="1405"/>
      <c r="F34" s="612"/>
      <c r="G34" s="613"/>
      <c r="H34" s="600"/>
    </row>
    <row r="35" spans="1:8">
      <c r="A35" s="572">
        <v>4</v>
      </c>
      <c r="B35" s="579" t="s">
        <v>17</v>
      </c>
      <c r="C35" s="578">
        <v>0</v>
      </c>
      <c r="D35" s="1405"/>
      <c r="E35" s="1405"/>
      <c r="F35" s="612"/>
      <c r="G35" s="613"/>
      <c r="H35" s="600"/>
    </row>
    <row r="36" spans="1:8">
      <c r="A36" s="575" t="s">
        <v>16</v>
      </c>
      <c r="B36" s="576" t="s">
        <v>84</v>
      </c>
      <c r="C36" s="578">
        <v>0.24</v>
      </c>
      <c r="D36" s="1405"/>
      <c r="E36" s="1405"/>
      <c r="F36" s="612"/>
      <c r="G36" s="613"/>
      <c r="H36" s="600"/>
    </row>
    <row r="37" spans="1:8" ht="25.5">
      <c r="A37" s="572">
        <v>5</v>
      </c>
      <c r="B37" s="618" t="s">
        <v>26</v>
      </c>
      <c r="C37" s="578">
        <v>9.86</v>
      </c>
      <c r="D37" s="1405"/>
      <c r="E37" s="1405"/>
      <c r="F37" s="612"/>
      <c r="G37" s="613"/>
      <c r="H37" s="600"/>
    </row>
    <row r="38" spans="1:8">
      <c r="A38" s="580" t="s">
        <v>147</v>
      </c>
      <c r="B38" s="579" t="s">
        <v>150</v>
      </c>
      <c r="C38" s="578">
        <v>0.22</v>
      </c>
      <c r="D38" s="1407"/>
      <c r="E38" s="1407"/>
      <c r="F38" s="609"/>
      <c r="G38" s="613"/>
      <c r="H38" s="600"/>
    </row>
    <row r="39" spans="1:8">
      <c r="A39" s="572">
        <v>6</v>
      </c>
      <c r="B39" s="573" t="s">
        <v>85</v>
      </c>
      <c r="C39" s="586">
        <f>SUM(C26+C31+C35+C37)</f>
        <v>50.21</v>
      </c>
      <c r="D39" s="1405"/>
      <c r="E39" s="1405"/>
      <c r="F39" s="612"/>
      <c r="G39" s="613"/>
      <c r="H39" s="600"/>
    </row>
    <row r="40" spans="1:8">
      <c r="A40" s="1313"/>
      <c r="B40" s="1408"/>
      <c r="C40" s="1319"/>
      <c r="D40" s="1319"/>
      <c r="E40" s="1319"/>
      <c r="F40" s="1319"/>
      <c r="G40" s="1409"/>
      <c r="H40" s="608"/>
    </row>
    <row r="41" spans="1:8" ht="15.75">
      <c r="A41" s="1316" t="s">
        <v>361</v>
      </c>
      <c r="B41" s="1410"/>
      <c r="C41" s="1410"/>
      <c r="D41" s="1410"/>
      <c r="E41" s="1410"/>
      <c r="F41" s="1410"/>
      <c r="G41" s="1411"/>
      <c r="H41" s="619"/>
    </row>
    <row r="42" spans="1:8">
      <c r="A42" s="572" t="s">
        <v>86</v>
      </c>
      <c r="B42" s="572" t="s">
        <v>8</v>
      </c>
      <c r="C42" s="572" t="s">
        <v>9</v>
      </c>
      <c r="D42" s="1407" t="s">
        <v>149</v>
      </c>
      <c r="E42" s="1407"/>
      <c r="F42" s="609"/>
      <c r="G42" s="610"/>
      <c r="H42" s="611"/>
    </row>
    <row r="43" spans="1:8">
      <c r="A43" s="572"/>
      <c r="B43" s="620" t="s">
        <v>10</v>
      </c>
      <c r="C43" s="1405"/>
      <c r="D43" s="1405"/>
      <c r="E43" s="1405"/>
      <c r="F43" s="612"/>
      <c r="G43" s="613"/>
      <c r="H43" s="600"/>
    </row>
    <row r="44" spans="1:8">
      <c r="A44" s="572">
        <v>7</v>
      </c>
      <c r="B44" s="573" t="s">
        <v>246</v>
      </c>
      <c r="C44" s="621">
        <v>1146642.8</v>
      </c>
      <c r="D44" s="1405"/>
      <c r="E44" s="1405"/>
      <c r="F44" s="612"/>
      <c r="G44" s="613"/>
      <c r="H44" s="600"/>
    </row>
    <row r="45" spans="1:8">
      <c r="A45" s="574" t="s">
        <v>11</v>
      </c>
      <c r="B45" s="576" t="s">
        <v>19</v>
      </c>
      <c r="C45" s="587">
        <v>911163.56</v>
      </c>
      <c r="D45" s="1405"/>
      <c r="E45" s="1405"/>
      <c r="F45" s="612"/>
      <c r="G45" s="613"/>
      <c r="H45" s="600"/>
    </row>
    <row r="46" spans="1:8">
      <c r="A46" s="575" t="s">
        <v>18</v>
      </c>
      <c r="B46" s="576" t="s">
        <v>151</v>
      </c>
      <c r="C46" s="587">
        <v>235479.24</v>
      </c>
      <c r="D46" s="1405"/>
      <c r="E46" s="1405"/>
      <c r="F46" s="612"/>
      <c r="G46" s="613"/>
      <c r="H46" s="600"/>
    </row>
    <row r="47" spans="1:8">
      <c r="A47" s="574" t="s">
        <v>247</v>
      </c>
      <c r="B47" s="576" t="s">
        <v>248</v>
      </c>
      <c r="C47" s="591">
        <v>0</v>
      </c>
      <c r="D47" s="1417"/>
      <c r="E47" s="1418"/>
      <c r="F47" s="612"/>
      <c r="G47" s="613"/>
      <c r="H47" s="600"/>
    </row>
    <row r="48" spans="1:8">
      <c r="A48" s="572">
        <v>8</v>
      </c>
      <c r="B48" s="573" t="s">
        <v>109</v>
      </c>
      <c r="C48" s="621">
        <f>SUM(C49:C51)</f>
        <v>996114</v>
      </c>
      <c r="D48" s="1405"/>
      <c r="E48" s="1405"/>
      <c r="F48" s="612"/>
      <c r="G48" s="613"/>
      <c r="H48" s="600"/>
    </row>
    <row r="49" spans="1:8">
      <c r="A49" s="581" t="s">
        <v>20</v>
      </c>
      <c r="B49" s="582" t="s">
        <v>23</v>
      </c>
      <c r="C49" s="587">
        <v>747887</v>
      </c>
      <c r="D49" s="1405"/>
      <c r="E49" s="1405"/>
      <c r="F49" s="612"/>
      <c r="G49" s="613"/>
      <c r="H49" s="600"/>
    </row>
    <row r="50" spans="1:8">
      <c r="A50" s="575" t="s">
        <v>21</v>
      </c>
      <c r="B50" s="576" t="s">
        <v>24</v>
      </c>
      <c r="C50" s="587">
        <v>149260</v>
      </c>
      <c r="D50" s="1405"/>
      <c r="E50" s="1405"/>
      <c r="F50" s="612"/>
      <c r="G50" s="613"/>
      <c r="H50" s="600"/>
    </row>
    <row r="51" spans="1:8">
      <c r="A51" s="575" t="s">
        <v>22</v>
      </c>
      <c r="B51" s="576" t="s">
        <v>25</v>
      </c>
      <c r="C51" s="587">
        <v>98967</v>
      </c>
      <c r="D51" s="1405"/>
      <c r="E51" s="1405"/>
      <c r="F51" s="612"/>
      <c r="G51" s="613"/>
      <c r="H51" s="600"/>
    </row>
    <row r="52" spans="1:8" ht="25.5">
      <c r="A52" s="583">
        <v>9</v>
      </c>
      <c r="B52" s="584" t="s">
        <v>27</v>
      </c>
      <c r="C52" s="588">
        <v>215041</v>
      </c>
      <c r="D52" s="1405"/>
      <c r="E52" s="1405"/>
      <c r="F52" s="612"/>
      <c r="G52" s="613"/>
      <c r="H52" s="600"/>
    </row>
    <row r="53" spans="1:8">
      <c r="A53" s="583">
        <v>10</v>
      </c>
      <c r="B53" s="584" t="s">
        <v>249</v>
      </c>
      <c r="C53" s="588">
        <f>SUM(C44+C48+C52)</f>
        <v>2357797.7999999998</v>
      </c>
      <c r="D53" s="1417"/>
      <c r="E53" s="1423"/>
      <c r="F53" s="622"/>
      <c r="G53" s="613"/>
      <c r="H53" s="600"/>
    </row>
    <row r="54" spans="1:8">
      <c r="A54" s="583"/>
      <c r="B54" s="584"/>
      <c r="C54" s="587"/>
      <c r="D54" s="1309"/>
      <c r="E54" s="1310"/>
      <c r="F54" s="622"/>
      <c r="G54" s="613"/>
      <c r="H54" s="600"/>
    </row>
    <row r="55" spans="1:8">
      <c r="A55" s="623"/>
      <c r="B55" s="620" t="s">
        <v>250</v>
      </c>
      <c r="C55" s="624"/>
      <c r="D55" s="1407"/>
      <c r="E55" s="1405"/>
      <c r="F55" s="612"/>
      <c r="G55" s="613"/>
      <c r="H55" s="600"/>
    </row>
    <row r="56" spans="1:8" ht="25.5">
      <c r="A56" s="625">
        <v>11</v>
      </c>
      <c r="B56" s="626" t="s">
        <v>251</v>
      </c>
      <c r="C56" s="627">
        <f>SUM(C57:C59)</f>
        <v>182396</v>
      </c>
      <c r="D56" s="1405"/>
      <c r="E56" s="1405"/>
      <c r="F56" s="612"/>
      <c r="G56" s="613"/>
      <c r="H56" s="600"/>
    </row>
    <row r="57" spans="1:8">
      <c r="A57" s="628" t="s">
        <v>30</v>
      </c>
      <c r="B57" s="629" t="s">
        <v>28</v>
      </c>
      <c r="C57" s="587">
        <v>120879</v>
      </c>
      <c r="D57" s="1405"/>
      <c r="E57" s="1405"/>
      <c r="F57" s="612"/>
      <c r="G57" s="613"/>
      <c r="H57" s="600"/>
    </row>
    <row r="58" spans="1:8">
      <c r="A58" s="628" t="s">
        <v>32</v>
      </c>
      <c r="B58" s="629" t="s">
        <v>363</v>
      </c>
      <c r="C58" s="587">
        <v>17065</v>
      </c>
      <c r="D58" s="1405"/>
      <c r="E58" s="1405"/>
      <c r="F58" s="612"/>
      <c r="G58" s="613"/>
      <c r="H58" s="600"/>
    </row>
    <row r="59" spans="1:8">
      <c r="A59" s="628" t="s">
        <v>34</v>
      </c>
      <c r="B59" s="629" t="s">
        <v>29</v>
      </c>
      <c r="C59" s="587">
        <v>44452</v>
      </c>
      <c r="D59" s="1405"/>
      <c r="E59" s="1405"/>
      <c r="F59" s="612"/>
      <c r="G59" s="613"/>
      <c r="H59" s="600"/>
    </row>
    <row r="60" spans="1:8" ht="38.25">
      <c r="A60" s="625">
        <v>12</v>
      </c>
      <c r="B60" s="626" t="s">
        <v>252</v>
      </c>
      <c r="C60" s="589">
        <f>SUM(C61+C62+C64+C65+C66)</f>
        <v>550459</v>
      </c>
      <c r="D60" s="1405"/>
      <c r="E60" s="1405"/>
      <c r="F60" s="612"/>
      <c r="G60" s="613"/>
      <c r="H60" s="600"/>
    </row>
    <row r="61" spans="1:8">
      <c r="A61" s="628" t="s">
        <v>36</v>
      </c>
      <c r="B61" s="629" t="s">
        <v>31</v>
      </c>
      <c r="C61" s="587">
        <v>207147</v>
      </c>
      <c r="D61" s="1405"/>
      <c r="E61" s="1405"/>
      <c r="F61" s="612"/>
      <c r="G61" s="613"/>
      <c r="H61" s="600"/>
    </row>
    <row r="62" spans="1:8">
      <c r="A62" s="628" t="s">
        <v>38</v>
      </c>
      <c r="B62" s="629" t="s">
        <v>206</v>
      </c>
      <c r="C62" s="587">
        <v>336367</v>
      </c>
      <c r="D62" s="1405"/>
      <c r="E62" s="1405"/>
      <c r="F62" s="612"/>
      <c r="G62" s="613"/>
      <c r="H62" s="600"/>
    </row>
    <row r="63" spans="1:8">
      <c r="A63" s="628" t="s">
        <v>253</v>
      </c>
      <c r="B63" s="629" t="s">
        <v>33</v>
      </c>
      <c r="C63" s="587">
        <v>13480</v>
      </c>
      <c r="D63" s="1405"/>
      <c r="E63" s="1405"/>
      <c r="F63" s="612"/>
      <c r="G63" s="613"/>
      <c r="H63" s="600"/>
    </row>
    <row r="64" spans="1:8">
      <c r="A64" s="628" t="s">
        <v>39</v>
      </c>
      <c r="B64" s="629" t="s">
        <v>35</v>
      </c>
      <c r="C64" s="587">
        <v>6325</v>
      </c>
      <c r="D64" s="1405"/>
      <c r="E64" s="1405"/>
      <c r="F64" s="612"/>
      <c r="G64" s="613"/>
      <c r="H64" s="600"/>
    </row>
    <row r="65" spans="1:8">
      <c r="A65" s="630" t="s">
        <v>254</v>
      </c>
      <c r="B65" s="629" t="s">
        <v>153</v>
      </c>
      <c r="C65" s="587">
        <v>620</v>
      </c>
      <c r="D65" s="1405"/>
      <c r="E65" s="1405"/>
      <c r="F65" s="612"/>
      <c r="G65" s="613"/>
      <c r="H65" s="600"/>
    </row>
    <row r="66" spans="1:8">
      <c r="A66" s="630" t="s">
        <v>255</v>
      </c>
      <c r="B66" s="631" t="s">
        <v>216</v>
      </c>
      <c r="C66" s="587">
        <v>0</v>
      </c>
      <c r="D66" s="1405"/>
      <c r="E66" s="1405"/>
      <c r="F66" s="612"/>
      <c r="G66" s="613"/>
      <c r="H66" s="600"/>
    </row>
    <row r="67" spans="1:8">
      <c r="A67" s="625">
        <v>13</v>
      </c>
      <c r="B67" s="632" t="s">
        <v>256</v>
      </c>
      <c r="C67" s="589">
        <f>SUM(C68:C69)</f>
        <v>9519</v>
      </c>
      <c r="D67" s="1405"/>
      <c r="E67" s="1405"/>
      <c r="F67" s="612"/>
      <c r="G67" s="613"/>
      <c r="H67" s="600"/>
    </row>
    <row r="68" spans="1:8">
      <c r="A68" s="628" t="s">
        <v>156</v>
      </c>
      <c r="B68" s="631" t="s">
        <v>40</v>
      </c>
      <c r="C68" s="587">
        <v>0</v>
      </c>
      <c r="D68" s="1405"/>
      <c r="E68" s="1405"/>
      <c r="F68" s="612"/>
      <c r="G68" s="613"/>
      <c r="H68" s="600"/>
    </row>
    <row r="69" spans="1:8">
      <c r="A69" s="628" t="s">
        <v>157</v>
      </c>
      <c r="B69" s="631" t="s">
        <v>41</v>
      </c>
      <c r="C69" s="587">
        <v>9519</v>
      </c>
      <c r="D69" s="1405"/>
      <c r="E69" s="1405"/>
      <c r="F69" s="612"/>
      <c r="G69" s="613"/>
      <c r="H69" s="600"/>
    </row>
    <row r="70" spans="1:8">
      <c r="A70" s="623">
        <v>14</v>
      </c>
      <c r="B70" s="610" t="s">
        <v>257</v>
      </c>
      <c r="C70" s="589">
        <v>0</v>
      </c>
      <c r="D70" s="1405"/>
      <c r="E70" s="1405"/>
      <c r="F70" s="612"/>
      <c r="G70" s="613"/>
      <c r="H70" s="600"/>
    </row>
    <row r="71" spans="1:8">
      <c r="A71" s="633" t="s">
        <v>42</v>
      </c>
      <c r="B71" s="634" t="s">
        <v>155</v>
      </c>
      <c r="C71" s="587">
        <v>0</v>
      </c>
      <c r="D71" s="1407"/>
      <c r="E71" s="1407"/>
      <c r="F71" s="609"/>
      <c r="G71" s="613"/>
      <c r="H71" s="600"/>
    </row>
    <row r="72" spans="1:8">
      <c r="A72" s="633" t="s">
        <v>43</v>
      </c>
      <c r="B72" s="635" t="s">
        <v>258</v>
      </c>
      <c r="C72" s="587">
        <v>0</v>
      </c>
      <c r="D72" s="1421"/>
      <c r="E72" s="1422"/>
      <c r="F72" s="609"/>
      <c r="G72" s="613"/>
      <c r="H72" s="600"/>
    </row>
    <row r="73" spans="1:8">
      <c r="A73" s="633" t="s">
        <v>45</v>
      </c>
      <c r="B73" s="636" t="s">
        <v>44</v>
      </c>
      <c r="C73" s="587">
        <v>0</v>
      </c>
      <c r="D73" s="1405"/>
      <c r="E73" s="1405"/>
      <c r="F73" s="612"/>
      <c r="G73" s="613"/>
      <c r="H73" s="600"/>
    </row>
    <row r="74" spans="1:8">
      <c r="A74" s="633" t="s">
        <v>154</v>
      </c>
      <c r="B74" s="636" t="s">
        <v>46</v>
      </c>
      <c r="C74" s="587">
        <v>0</v>
      </c>
      <c r="D74" s="1405"/>
      <c r="E74" s="1405"/>
      <c r="F74" s="612"/>
      <c r="G74" s="613"/>
      <c r="H74" s="600"/>
    </row>
    <row r="75" spans="1:8">
      <c r="A75" s="637" t="s">
        <v>259</v>
      </c>
      <c r="B75" s="636" t="s">
        <v>104</v>
      </c>
      <c r="C75" s="587"/>
      <c r="D75" s="1405"/>
      <c r="E75" s="1405"/>
      <c r="F75" s="612"/>
      <c r="G75" s="613"/>
      <c r="H75" s="600"/>
    </row>
    <row r="76" spans="1:8">
      <c r="A76" s="638">
        <v>15</v>
      </c>
      <c r="B76" s="610" t="s">
        <v>260</v>
      </c>
      <c r="C76" s="590">
        <v>742374</v>
      </c>
      <c r="D76" s="1417"/>
      <c r="E76" s="1418"/>
      <c r="F76" s="612"/>
      <c r="G76" s="613"/>
      <c r="H76" s="600"/>
    </row>
    <row r="77" spans="1:8">
      <c r="A77" s="637"/>
      <c r="B77" s="610"/>
      <c r="C77" s="590"/>
      <c r="D77" s="1417"/>
      <c r="E77" s="1418"/>
      <c r="F77" s="612"/>
      <c r="G77" s="613"/>
      <c r="H77" s="600"/>
    </row>
    <row r="78" spans="1:8">
      <c r="A78" s="637"/>
      <c r="B78" s="639" t="s">
        <v>261</v>
      </c>
      <c r="C78" s="587"/>
      <c r="D78" s="1405"/>
      <c r="E78" s="1405"/>
      <c r="F78" s="612"/>
      <c r="G78" s="613"/>
      <c r="H78" s="600"/>
    </row>
    <row r="79" spans="1:8">
      <c r="A79" s="637"/>
      <c r="C79" s="587"/>
      <c r="D79" s="1417"/>
      <c r="E79" s="1418"/>
      <c r="F79" s="612"/>
      <c r="G79" s="613"/>
      <c r="H79" s="600"/>
    </row>
    <row r="80" spans="1:8">
      <c r="A80" s="623">
        <v>16</v>
      </c>
      <c r="B80" s="640" t="s">
        <v>262</v>
      </c>
      <c r="C80" s="587">
        <f>SUM(C81:C85)</f>
        <v>39799.07</v>
      </c>
      <c r="D80" s="1417"/>
      <c r="E80" s="1418"/>
      <c r="F80" s="612"/>
      <c r="G80" s="613"/>
      <c r="H80" s="600"/>
    </row>
    <row r="81" spans="1:8">
      <c r="A81" s="637" t="s">
        <v>263</v>
      </c>
      <c r="B81" s="613" t="s">
        <v>264</v>
      </c>
      <c r="C81" s="587">
        <v>13080</v>
      </c>
      <c r="D81" s="1417"/>
      <c r="E81" s="1418"/>
      <c r="F81" s="612"/>
      <c r="G81" s="613"/>
      <c r="H81" s="600"/>
    </row>
    <row r="82" spans="1:8" ht="25.5">
      <c r="A82" s="637" t="s">
        <v>192</v>
      </c>
      <c r="B82" s="641" t="s">
        <v>207</v>
      </c>
      <c r="C82" s="587">
        <v>12586</v>
      </c>
      <c r="D82" s="1417"/>
      <c r="E82" s="1418"/>
      <c r="F82" s="612"/>
      <c r="G82" s="613"/>
      <c r="H82" s="600"/>
    </row>
    <row r="83" spans="1:8">
      <c r="A83" s="637" t="s">
        <v>193</v>
      </c>
      <c r="B83" s="613" t="s">
        <v>158</v>
      </c>
      <c r="C83" s="587">
        <v>583</v>
      </c>
      <c r="D83" s="1417"/>
      <c r="E83" s="1418"/>
      <c r="F83" s="612"/>
      <c r="G83" s="613"/>
      <c r="H83" s="600"/>
    </row>
    <row r="84" spans="1:8">
      <c r="A84" s="637" t="s">
        <v>265</v>
      </c>
      <c r="B84" s="613" t="s">
        <v>159</v>
      </c>
      <c r="C84" s="587">
        <v>4553</v>
      </c>
      <c r="D84" s="1419" t="s">
        <v>706</v>
      </c>
      <c r="E84" s="1420"/>
      <c r="F84" s="612"/>
      <c r="G84" s="613"/>
      <c r="H84" s="600"/>
    </row>
    <row r="85" spans="1:8">
      <c r="A85" s="637" t="s">
        <v>266</v>
      </c>
      <c r="B85" s="613" t="s">
        <v>160</v>
      </c>
      <c r="C85" s="587">
        <v>8997.07</v>
      </c>
      <c r="D85" s="1417"/>
      <c r="E85" s="1418"/>
      <c r="F85" s="612"/>
      <c r="G85" s="613"/>
      <c r="H85" s="600"/>
    </row>
    <row r="86" spans="1:8">
      <c r="A86" s="638">
        <v>17</v>
      </c>
      <c r="B86" s="639" t="s">
        <v>191</v>
      </c>
      <c r="C86" s="587">
        <v>0</v>
      </c>
      <c r="D86" s="1405"/>
      <c r="E86" s="1405"/>
      <c r="F86" s="612"/>
      <c r="G86" s="610"/>
      <c r="H86" s="611"/>
    </row>
    <row r="87" spans="1:8">
      <c r="A87" s="638">
        <v>18</v>
      </c>
      <c r="B87" s="610" t="s">
        <v>267</v>
      </c>
      <c r="C87" s="568">
        <f>SUM(C88:C90)</f>
        <v>1668</v>
      </c>
      <c r="D87" s="1405"/>
      <c r="E87" s="1405"/>
      <c r="F87" s="612"/>
      <c r="G87" s="613"/>
      <c r="H87" s="600"/>
    </row>
    <row r="88" spans="1:8">
      <c r="A88" s="633" t="s">
        <v>268</v>
      </c>
      <c r="B88" s="642" t="s">
        <v>47</v>
      </c>
      <c r="C88" s="587">
        <v>819</v>
      </c>
      <c r="D88" s="1405"/>
      <c r="E88" s="1405"/>
      <c r="F88" s="612"/>
      <c r="G88" s="613"/>
      <c r="H88" s="600"/>
    </row>
    <row r="89" spans="1:8">
      <c r="A89" s="633" t="s">
        <v>269</v>
      </c>
      <c r="B89" s="642" t="s">
        <v>48</v>
      </c>
      <c r="C89" s="587">
        <v>849</v>
      </c>
      <c r="D89" s="1405"/>
      <c r="E89" s="1405"/>
      <c r="F89" s="612"/>
      <c r="G89" s="613"/>
      <c r="H89" s="600"/>
    </row>
    <row r="90" spans="1:8">
      <c r="A90" s="633" t="s">
        <v>270</v>
      </c>
      <c r="B90" s="642" t="s">
        <v>105</v>
      </c>
      <c r="C90" s="624">
        <v>0</v>
      </c>
      <c r="D90" s="1405"/>
      <c r="E90" s="1405"/>
      <c r="F90" s="612"/>
      <c r="G90" s="613"/>
      <c r="H90" s="600"/>
    </row>
    <row r="91" spans="1:8">
      <c r="A91" s="638">
        <v>19</v>
      </c>
      <c r="B91" s="613" t="s">
        <v>205</v>
      </c>
      <c r="C91" s="624">
        <v>22779.98</v>
      </c>
      <c r="D91" s="1405"/>
      <c r="E91" s="1405"/>
      <c r="F91" s="612"/>
      <c r="G91" s="613"/>
      <c r="H91" s="600"/>
    </row>
    <row r="92" spans="1:8" ht="38.25">
      <c r="A92" s="638">
        <v>20</v>
      </c>
      <c r="B92" s="641" t="s">
        <v>106</v>
      </c>
      <c r="C92" s="624">
        <v>90329</v>
      </c>
      <c r="D92" s="1405"/>
      <c r="E92" s="1405"/>
      <c r="F92" s="612"/>
      <c r="G92" s="613"/>
      <c r="H92" s="600"/>
    </row>
    <row r="93" spans="1:8">
      <c r="A93" s="638">
        <v>21</v>
      </c>
      <c r="B93" s="613" t="s">
        <v>103</v>
      </c>
      <c r="C93" s="624">
        <v>17950</v>
      </c>
      <c r="D93" s="1415" t="s">
        <v>707</v>
      </c>
      <c r="E93" s="1415"/>
      <c r="F93" s="612"/>
      <c r="G93" s="613"/>
      <c r="H93" s="600"/>
    </row>
    <row r="94" spans="1:8" ht="25.5">
      <c r="A94" s="638">
        <v>22</v>
      </c>
      <c r="B94" s="641" t="s">
        <v>107</v>
      </c>
      <c r="C94" s="643">
        <v>99002.5</v>
      </c>
      <c r="D94" s="1416"/>
      <c r="E94" s="1416"/>
      <c r="F94" s="644"/>
      <c r="G94" s="645"/>
      <c r="H94" s="608"/>
    </row>
    <row r="95" spans="1:8" ht="25.5">
      <c r="A95" s="638">
        <v>23</v>
      </c>
      <c r="B95" s="641" t="s">
        <v>271</v>
      </c>
      <c r="C95" s="646">
        <f>SUM(C53,C76,C80,C86,C87,C91,C92,C93,C94)</f>
        <v>3371700.3499999996</v>
      </c>
      <c r="D95" s="1405"/>
      <c r="E95" s="1405"/>
      <c r="F95" s="612"/>
      <c r="G95" s="613"/>
      <c r="H95" s="600"/>
    </row>
    <row r="96" spans="1:8">
      <c r="A96" s="637" t="s">
        <v>108</v>
      </c>
      <c r="B96" s="642" t="s">
        <v>49</v>
      </c>
      <c r="C96" s="624">
        <v>939560</v>
      </c>
      <c r="D96" s="1405"/>
      <c r="E96" s="1405"/>
      <c r="F96" s="612"/>
      <c r="G96" s="613"/>
      <c r="H96" s="600"/>
    </row>
    <row r="97" spans="1:8" ht="15">
      <c r="A97" s="638">
        <v>24</v>
      </c>
      <c r="B97" s="613" t="s">
        <v>272</v>
      </c>
      <c r="C97" s="647">
        <f>SUM(C95,C96)</f>
        <v>4311260.3499999996</v>
      </c>
      <c r="D97" s="1405"/>
      <c r="E97" s="1405"/>
      <c r="F97" s="612"/>
      <c r="G97" s="613"/>
      <c r="H97" s="600"/>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5288</v>
      </c>
      <c r="D103" s="51">
        <f>SUM(D104,D107:D110)</f>
        <v>949</v>
      </c>
      <c r="E103" s="34">
        <v>290444</v>
      </c>
      <c r="F103" s="34"/>
      <c r="G103" s="10"/>
      <c r="H103" s="3"/>
    </row>
    <row r="104" spans="1:8">
      <c r="A104" s="25" t="s">
        <v>91</v>
      </c>
      <c r="B104" s="13" t="s">
        <v>53</v>
      </c>
      <c r="C104" s="51">
        <f>SUM(C105:C106)</f>
        <v>4091</v>
      </c>
      <c r="D104" s="51">
        <v>949</v>
      </c>
      <c r="E104" s="34">
        <v>208355</v>
      </c>
      <c r="F104" s="34"/>
      <c r="G104" s="10"/>
      <c r="H104" s="3"/>
    </row>
    <row r="105" spans="1:8">
      <c r="A105" s="25" t="s">
        <v>194</v>
      </c>
      <c r="B105" s="35" t="s">
        <v>54</v>
      </c>
      <c r="C105" s="34">
        <v>1412</v>
      </c>
      <c r="D105" s="25"/>
      <c r="E105" s="34" t="s">
        <v>201</v>
      </c>
      <c r="F105" s="34"/>
      <c r="G105" s="10"/>
      <c r="H105" s="3"/>
    </row>
    <row r="106" spans="1:8">
      <c r="A106" s="25" t="s">
        <v>195</v>
      </c>
      <c r="B106" s="35" t="s">
        <v>55</v>
      </c>
      <c r="C106" s="34">
        <v>2679</v>
      </c>
      <c r="D106" s="25"/>
      <c r="E106" s="34" t="s">
        <v>201</v>
      </c>
      <c r="F106" s="34"/>
      <c r="G106" s="10"/>
      <c r="H106" s="3"/>
    </row>
    <row r="107" spans="1:8">
      <c r="A107" s="25" t="s">
        <v>93</v>
      </c>
      <c r="B107" s="13" t="s">
        <v>56</v>
      </c>
      <c r="C107" s="34">
        <v>972</v>
      </c>
      <c r="D107" s="34" t="s">
        <v>400</v>
      </c>
      <c r="E107" s="34">
        <v>27467</v>
      </c>
      <c r="F107" s="34"/>
      <c r="G107" s="10"/>
      <c r="H107" s="3"/>
    </row>
    <row r="108" spans="1:8">
      <c r="A108" s="25" t="s">
        <v>275</v>
      </c>
      <c r="B108" s="13" t="s">
        <v>57</v>
      </c>
      <c r="C108" s="34">
        <v>225</v>
      </c>
      <c r="D108" s="34" t="s">
        <v>400</v>
      </c>
      <c r="E108" s="34">
        <v>54622</v>
      </c>
      <c r="F108" s="34"/>
      <c r="G108" s="10"/>
      <c r="H108" s="3"/>
    </row>
    <row r="109" spans="1:8">
      <c r="A109" s="25" t="s">
        <v>276</v>
      </c>
      <c r="B109" s="13" t="s">
        <v>58</v>
      </c>
      <c r="C109" s="34">
        <v>0</v>
      </c>
      <c r="D109" s="34">
        <v>0</v>
      </c>
      <c r="E109" s="34" t="s">
        <v>400</v>
      </c>
      <c r="F109" s="34"/>
      <c r="G109" s="10"/>
      <c r="H109" s="3"/>
    </row>
    <row r="110" spans="1:8">
      <c r="A110" s="27" t="s">
        <v>277</v>
      </c>
      <c r="B110" s="13" t="s">
        <v>139</v>
      </c>
      <c r="C110" s="52" t="s">
        <v>400</v>
      </c>
      <c r="D110" s="51" t="s">
        <v>400</v>
      </c>
      <c r="E110" s="34" t="s">
        <v>400</v>
      </c>
      <c r="F110" s="34"/>
      <c r="G110" s="10"/>
      <c r="H110" s="3"/>
    </row>
    <row r="111" spans="1:8">
      <c r="A111" s="30">
        <v>26</v>
      </c>
      <c r="B111" s="18" t="s">
        <v>278</v>
      </c>
      <c r="C111" s="34">
        <f>SUM(C112,C113)</f>
        <v>6780</v>
      </c>
      <c r="D111" s="34" t="s">
        <v>400</v>
      </c>
      <c r="E111" s="34">
        <v>47068</v>
      </c>
      <c r="F111" s="34"/>
      <c r="G111" s="10"/>
      <c r="H111" s="3"/>
    </row>
    <row r="112" spans="1:8">
      <c r="A112" s="25" t="s">
        <v>92</v>
      </c>
      <c r="B112" s="13" t="s">
        <v>59</v>
      </c>
      <c r="C112" s="34">
        <v>4351</v>
      </c>
      <c r="D112" s="34" t="s">
        <v>400</v>
      </c>
      <c r="E112" s="34">
        <v>31532</v>
      </c>
      <c r="F112" s="34"/>
      <c r="G112" s="10"/>
      <c r="H112" s="3"/>
    </row>
    <row r="113" spans="1:8">
      <c r="A113" s="27" t="s">
        <v>94</v>
      </c>
      <c r="B113" s="13" t="s">
        <v>164</v>
      </c>
      <c r="C113" s="34">
        <v>2429</v>
      </c>
      <c r="D113" s="34" t="s">
        <v>400</v>
      </c>
      <c r="E113" s="34">
        <v>15536</v>
      </c>
      <c r="F113" s="34"/>
      <c r="G113" s="10"/>
      <c r="H113" s="3"/>
    </row>
    <row r="114" spans="1:8">
      <c r="A114" s="25"/>
      <c r="B114" s="13"/>
      <c r="C114" s="34"/>
      <c r="D114" s="34"/>
      <c r="E114" s="34"/>
      <c r="F114" s="34"/>
      <c r="G114" s="10"/>
      <c r="H114" s="3"/>
    </row>
    <row r="115" spans="1:8" ht="38.25">
      <c r="A115" s="36">
        <v>27</v>
      </c>
      <c r="B115" s="33" t="s">
        <v>279</v>
      </c>
      <c r="C115" s="51" t="s">
        <v>400</v>
      </c>
      <c r="D115" s="51" t="s">
        <v>400</v>
      </c>
      <c r="E115" s="34">
        <v>39336</v>
      </c>
      <c r="F115" s="34"/>
      <c r="G115" s="10"/>
      <c r="H115" s="3"/>
    </row>
    <row r="116" spans="1:8" ht="25.5">
      <c r="A116" s="30" t="s">
        <v>196</v>
      </c>
      <c r="B116" s="126" t="s">
        <v>280</v>
      </c>
      <c r="C116" s="52" t="s">
        <v>400</v>
      </c>
      <c r="D116" s="52" t="s">
        <v>400</v>
      </c>
      <c r="E116" s="34">
        <v>29503</v>
      </c>
      <c r="F116" s="25"/>
      <c r="G116" s="10"/>
      <c r="H116" s="3"/>
    </row>
    <row r="117" spans="1:8">
      <c r="A117" s="25" t="s">
        <v>281</v>
      </c>
      <c r="B117" s="35" t="s">
        <v>124</v>
      </c>
      <c r="C117" s="25" t="s">
        <v>400</v>
      </c>
      <c r="D117" s="25" t="s">
        <v>400</v>
      </c>
      <c r="E117" s="25">
        <v>381</v>
      </c>
      <c r="F117" s="25"/>
      <c r="G117" s="10"/>
      <c r="H117" s="3"/>
    </row>
    <row r="118" spans="1:8">
      <c r="A118" s="25" t="s">
        <v>282</v>
      </c>
      <c r="B118" s="35" t="s">
        <v>125</v>
      </c>
      <c r="C118" s="25" t="s">
        <v>400</v>
      </c>
      <c r="D118" s="25" t="s">
        <v>400</v>
      </c>
      <c r="E118" s="34">
        <v>29122</v>
      </c>
      <c r="F118" s="25"/>
      <c r="G118" s="10"/>
      <c r="H118" s="3"/>
    </row>
    <row r="119" spans="1:8" ht="25.5">
      <c r="A119" s="30" t="s">
        <v>283</v>
      </c>
      <c r="B119" s="126" t="s">
        <v>284</v>
      </c>
      <c r="C119" s="52" t="s">
        <v>400</v>
      </c>
      <c r="D119" s="52" t="s">
        <v>400</v>
      </c>
      <c r="E119" s="25">
        <v>9833</v>
      </c>
      <c r="F119" s="25"/>
      <c r="G119" s="10"/>
      <c r="H119" s="3"/>
    </row>
    <row r="120" spans="1:8">
      <c r="A120" s="25" t="s">
        <v>285</v>
      </c>
      <c r="B120" s="35" t="s">
        <v>126</v>
      </c>
      <c r="C120" s="25" t="s">
        <v>400</v>
      </c>
      <c r="D120" s="25" t="s">
        <v>400</v>
      </c>
      <c r="E120" s="25">
        <v>0</v>
      </c>
      <c r="F120" s="25"/>
      <c r="G120" s="10"/>
      <c r="H120" s="3"/>
    </row>
    <row r="121" spans="1:8">
      <c r="A121" s="27" t="s">
        <v>286</v>
      </c>
      <c r="B121" s="35" t="s">
        <v>287</v>
      </c>
      <c r="C121" s="25" t="s">
        <v>400</v>
      </c>
      <c r="D121" s="25" t="s">
        <v>400</v>
      </c>
      <c r="E121" s="25">
        <v>5707</v>
      </c>
      <c r="F121" s="25"/>
      <c r="G121" s="10"/>
      <c r="H121" s="3"/>
    </row>
    <row r="122" spans="1:8">
      <c r="A122" s="25" t="s">
        <v>288</v>
      </c>
      <c r="B122" s="35" t="s">
        <v>218</v>
      </c>
      <c r="C122" s="25" t="s">
        <v>400</v>
      </c>
      <c r="D122" s="25" t="s">
        <v>400</v>
      </c>
      <c r="E122" s="25">
        <v>4126</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663</v>
      </c>
      <c r="D125" s="52" t="s">
        <v>400</v>
      </c>
      <c r="E125" s="34">
        <v>11990</v>
      </c>
      <c r="F125" s="25"/>
      <c r="G125" s="10"/>
      <c r="H125" s="3"/>
    </row>
    <row r="126" spans="1:8">
      <c r="A126" s="25" t="s">
        <v>127</v>
      </c>
      <c r="B126" s="24" t="s">
        <v>40</v>
      </c>
      <c r="C126" s="25">
        <v>473</v>
      </c>
      <c r="D126" s="25" t="s">
        <v>400</v>
      </c>
      <c r="E126" s="25">
        <v>3798</v>
      </c>
      <c r="F126" s="25"/>
      <c r="G126" s="10"/>
      <c r="H126" s="3"/>
    </row>
    <row r="127" spans="1:8">
      <c r="A127" s="25" t="s">
        <v>129</v>
      </c>
      <c r="B127" s="24" t="s">
        <v>41</v>
      </c>
      <c r="C127" s="25">
        <v>190</v>
      </c>
      <c r="D127" s="25" t="s">
        <v>400</v>
      </c>
      <c r="E127" s="25">
        <v>8192</v>
      </c>
      <c r="F127" s="25"/>
      <c r="G127" s="10"/>
      <c r="H127" s="3"/>
    </row>
    <row r="128" spans="1:8">
      <c r="A128" s="25"/>
      <c r="C128" s="25"/>
      <c r="D128" s="25"/>
      <c r="E128" s="25"/>
      <c r="F128" s="25"/>
      <c r="G128" s="10"/>
      <c r="H128" s="3"/>
    </row>
    <row r="129" spans="1:8">
      <c r="A129" s="30">
        <v>29</v>
      </c>
      <c r="B129" s="6" t="s">
        <v>290</v>
      </c>
      <c r="C129" s="25"/>
      <c r="D129" s="25"/>
      <c r="E129" s="25"/>
      <c r="F129" s="25"/>
      <c r="G129" s="10"/>
      <c r="H129" s="3"/>
    </row>
    <row r="130" spans="1:8">
      <c r="A130" s="30" t="s">
        <v>165</v>
      </c>
      <c r="B130" s="6" t="s">
        <v>37</v>
      </c>
      <c r="C130" s="25">
        <v>57</v>
      </c>
      <c r="D130" s="25" t="s">
        <v>400</v>
      </c>
      <c r="E130" s="25">
        <v>984</v>
      </c>
      <c r="F130" s="25"/>
      <c r="G130" s="10"/>
      <c r="H130" s="3"/>
    </row>
    <row r="131" spans="1:8">
      <c r="A131" s="30" t="s">
        <v>166</v>
      </c>
      <c r="B131" s="6" t="s">
        <v>79</v>
      </c>
      <c r="C131" s="25">
        <v>0</v>
      </c>
      <c r="D131" s="25" t="s">
        <v>400</v>
      </c>
      <c r="E131" s="34">
        <v>19415</v>
      </c>
      <c r="F131" s="25"/>
      <c r="G131" s="10"/>
      <c r="H131" s="3"/>
    </row>
    <row r="132" spans="1:8">
      <c r="A132" s="30" t="s">
        <v>291</v>
      </c>
      <c r="B132" s="29" t="s">
        <v>222</v>
      </c>
      <c r="C132" s="30">
        <v>58</v>
      </c>
      <c r="D132" s="30" t="s">
        <v>400</v>
      </c>
      <c r="E132" s="30">
        <v>693</v>
      </c>
      <c r="F132" s="30"/>
      <c r="G132" s="6"/>
      <c r="H132" s="122"/>
    </row>
    <row r="133" spans="1:8">
      <c r="A133" s="30" t="s">
        <v>292</v>
      </c>
      <c r="B133" s="29" t="s">
        <v>293</v>
      </c>
      <c r="C133" s="30">
        <v>6590</v>
      </c>
      <c r="D133" s="30" t="s">
        <v>400</v>
      </c>
      <c r="E133" s="32">
        <v>982268</v>
      </c>
      <c r="F133" s="30"/>
      <c r="G133" s="6"/>
      <c r="H133" s="122"/>
    </row>
    <row r="134" spans="1:8">
      <c r="A134" s="30" t="s">
        <v>294</v>
      </c>
      <c r="B134" s="29" t="s">
        <v>223</v>
      </c>
      <c r="C134" s="30">
        <v>0</v>
      </c>
      <c r="D134" s="30">
        <v>0</v>
      </c>
      <c r="E134" s="30">
        <v>0</v>
      </c>
      <c r="F134" s="30"/>
      <c r="G134" s="6"/>
      <c r="H134" s="122"/>
    </row>
    <row r="135" spans="1:8">
      <c r="A135" s="30" t="s">
        <v>295</v>
      </c>
      <c r="B135" s="37" t="s">
        <v>224</v>
      </c>
      <c r="C135" s="30">
        <v>6590</v>
      </c>
      <c r="D135" s="30" t="s">
        <v>400</v>
      </c>
      <c r="E135" s="32">
        <v>982268</v>
      </c>
      <c r="F135" s="30"/>
      <c r="G135" s="6"/>
      <c r="H135" s="122"/>
    </row>
    <row r="136" spans="1:8">
      <c r="A136" s="30" t="s">
        <v>296</v>
      </c>
      <c r="B136" s="37" t="s">
        <v>225</v>
      </c>
      <c r="C136" s="30">
        <v>0</v>
      </c>
      <c r="D136" s="30" t="s">
        <v>400</v>
      </c>
      <c r="E136" s="30" t="s">
        <v>400</v>
      </c>
      <c r="F136" s="30"/>
      <c r="G136" s="6"/>
      <c r="H136" s="122"/>
    </row>
    <row r="137" spans="1:8">
      <c r="A137" s="25"/>
      <c r="B137" s="6" t="s">
        <v>297</v>
      </c>
      <c r="C137" s="25">
        <v>0</v>
      </c>
      <c r="D137" s="25" t="s">
        <v>400</v>
      </c>
      <c r="E137" s="25" t="s">
        <v>400</v>
      </c>
      <c r="F137" s="25"/>
      <c r="G137" s="10"/>
      <c r="H137" s="3"/>
    </row>
    <row r="138" spans="1:8">
      <c r="A138" s="38" t="s">
        <v>298</v>
      </c>
      <c r="B138" s="37" t="s">
        <v>197</v>
      </c>
      <c r="C138" s="30">
        <v>0</v>
      </c>
      <c r="D138" s="30" t="s">
        <v>400</v>
      </c>
      <c r="E138" s="30" t="s">
        <v>400</v>
      </c>
      <c r="F138" s="30"/>
      <c r="G138" s="6"/>
      <c r="H138" s="122"/>
    </row>
    <row r="139" spans="1:8">
      <c r="A139" s="38" t="s">
        <v>299</v>
      </c>
      <c r="B139" s="37" t="s">
        <v>198</v>
      </c>
      <c r="C139" s="30">
        <v>1527</v>
      </c>
      <c r="D139" s="30" t="s">
        <v>400</v>
      </c>
      <c r="E139" s="30" t="s">
        <v>400</v>
      </c>
      <c r="F139" s="30"/>
      <c r="G139" s="6"/>
      <c r="H139" s="122"/>
    </row>
    <row r="140" spans="1:8">
      <c r="A140" s="38" t="s">
        <v>300</v>
      </c>
      <c r="B140" s="37" t="s">
        <v>199</v>
      </c>
      <c r="C140" s="30" t="s">
        <v>400</v>
      </c>
      <c r="D140" s="30" t="s">
        <v>400</v>
      </c>
      <c r="E140" s="30" t="s">
        <v>400</v>
      </c>
      <c r="F140" s="30"/>
      <c r="G140" s="6"/>
      <c r="H140" s="122"/>
    </row>
    <row r="141" spans="1:8">
      <c r="A141" s="38" t="s">
        <v>301</v>
      </c>
      <c r="B141" s="37" t="s">
        <v>200</v>
      </c>
      <c r="C141" s="30" t="s">
        <v>201</v>
      </c>
      <c r="D141" s="30" t="s">
        <v>201</v>
      </c>
      <c r="E141" s="30" t="s">
        <v>201</v>
      </c>
      <c r="F141" s="30"/>
      <c r="G141" s="6"/>
      <c r="H141" s="122"/>
    </row>
    <row r="142" spans="1:8">
      <c r="A142" s="30" t="s">
        <v>302</v>
      </c>
      <c r="B142" s="37" t="s">
        <v>220</v>
      </c>
      <c r="C142" s="30">
        <v>52</v>
      </c>
      <c r="D142" s="30">
        <v>0</v>
      </c>
      <c r="E142" s="30">
        <v>988</v>
      </c>
      <c r="F142" s="30"/>
      <c r="G142" s="6"/>
      <c r="H142" s="122"/>
    </row>
    <row r="143" spans="1:8">
      <c r="A143" s="30" t="s">
        <v>303</v>
      </c>
      <c r="B143" s="37" t="s">
        <v>221</v>
      </c>
      <c r="C143" s="30" t="s">
        <v>400</v>
      </c>
      <c r="D143" s="30" t="s">
        <v>400</v>
      </c>
      <c r="E143" s="30" t="s">
        <v>400</v>
      </c>
      <c r="F143" s="30"/>
      <c r="G143" s="6"/>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241294</v>
      </c>
    </row>
    <row r="148" spans="1:9">
      <c r="A148" s="27" t="s">
        <v>169</v>
      </c>
      <c r="B148" s="10" t="s">
        <v>167</v>
      </c>
      <c r="C148" s="63">
        <v>200463</v>
      </c>
      <c r="D148" s="170"/>
    </row>
    <row r="149" spans="1:9">
      <c r="A149" s="27" t="s">
        <v>171</v>
      </c>
      <c r="B149" s="10" t="s">
        <v>168</v>
      </c>
      <c r="C149" s="170">
        <v>40831</v>
      </c>
    </row>
    <row r="150" spans="1:9" ht="24.75">
      <c r="A150" s="38">
        <v>31</v>
      </c>
      <c r="B150" s="33" t="s">
        <v>305</v>
      </c>
      <c r="C150" s="9"/>
    </row>
    <row r="151" spans="1:9">
      <c r="A151" s="27" t="s">
        <v>137</v>
      </c>
      <c r="B151" s="10" t="s">
        <v>170</v>
      </c>
      <c r="C151" s="9">
        <v>295621</v>
      </c>
    </row>
    <row r="152" spans="1:9">
      <c r="A152" s="27" t="s">
        <v>138</v>
      </c>
      <c r="B152" s="10" t="s">
        <v>172</v>
      </c>
      <c r="C152" s="9" t="s">
        <v>380</v>
      </c>
    </row>
    <row r="153" spans="1:9">
      <c r="A153" s="27"/>
      <c r="B153" s="10"/>
      <c r="C153" s="9"/>
    </row>
    <row r="154" spans="1:9">
      <c r="A154" s="30"/>
      <c r="B154" s="1201" t="s">
        <v>306</v>
      </c>
      <c r="C154" s="1202"/>
    </row>
    <row r="155" spans="1:9">
      <c r="A155" s="30">
        <v>32</v>
      </c>
      <c r="B155" s="26" t="s">
        <v>307</v>
      </c>
      <c r="C155" s="52">
        <f>SUM(C156,C157,C163)</f>
        <v>93364</v>
      </c>
    </row>
    <row r="156" spans="1:9">
      <c r="A156" s="25" t="s">
        <v>308</v>
      </c>
      <c r="B156" s="28" t="s">
        <v>69</v>
      </c>
      <c r="C156" s="25">
        <v>33865</v>
      </c>
    </row>
    <row r="157" spans="1:9">
      <c r="A157" s="27" t="s">
        <v>309</v>
      </c>
      <c r="B157" s="28" t="s">
        <v>70</v>
      </c>
      <c r="C157" s="25">
        <v>10336</v>
      </c>
    </row>
    <row r="158" spans="1:9">
      <c r="A158" s="30">
        <v>33</v>
      </c>
      <c r="B158" s="41" t="s">
        <v>71</v>
      </c>
      <c r="C158" s="25">
        <v>14888</v>
      </c>
    </row>
    <row r="159" spans="1:9">
      <c r="A159" s="30">
        <v>34</v>
      </c>
      <c r="B159" s="26" t="s">
        <v>310</v>
      </c>
      <c r="C159" s="52">
        <f>SUM(C160:C162)</f>
        <v>1009</v>
      </c>
    </row>
    <row r="160" spans="1:9">
      <c r="A160" s="25" t="s">
        <v>173</v>
      </c>
      <c r="B160" s="28" t="s">
        <v>72</v>
      </c>
      <c r="C160" s="25">
        <v>300</v>
      </c>
    </row>
    <row r="161" spans="1:7">
      <c r="A161" s="27" t="s">
        <v>175</v>
      </c>
      <c r="B161" s="28" t="s">
        <v>73</v>
      </c>
      <c r="C161" s="25">
        <v>394</v>
      </c>
    </row>
    <row r="162" spans="1:7">
      <c r="A162" s="27" t="s">
        <v>177</v>
      </c>
      <c r="B162" s="28" t="s">
        <v>214</v>
      </c>
      <c r="C162" s="25">
        <v>315</v>
      </c>
    </row>
    <row r="163" spans="1:7">
      <c r="A163" s="23">
        <v>35</v>
      </c>
      <c r="B163" s="26" t="s">
        <v>311</v>
      </c>
      <c r="C163" s="52">
        <f>SUM(C164:C166)</f>
        <v>49163</v>
      </c>
    </row>
    <row r="164" spans="1:7">
      <c r="A164" s="39" t="s">
        <v>312</v>
      </c>
      <c r="B164" s="41" t="s">
        <v>174</v>
      </c>
      <c r="C164" s="25">
        <v>6305</v>
      </c>
    </row>
    <row r="165" spans="1:7">
      <c r="A165" s="27" t="s">
        <v>313</v>
      </c>
      <c r="B165" s="41" t="s">
        <v>176</v>
      </c>
      <c r="C165" s="25">
        <v>42802</v>
      </c>
    </row>
    <row r="166" spans="1:7">
      <c r="A166" s="27" t="s">
        <v>314</v>
      </c>
      <c r="B166" s="41" t="s">
        <v>178</v>
      </c>
      <c r="C166" s="25">
        <v>56</v>
      </c>
    </row>
    <row r="168" spans="1:7">
      <c r="A168" s="23"/>
      <c r="B168" s="129" t="s">
        <v>87</v>
      </c>
      <c r="C168" s="127"/>
      <c r="D168" s="127"/>
      <c r="E168" s="130"/>
      <c r="F168" s="131"/>
    </row>
    <row r="169" spans="1:7">
      <c r="A169" s="23">
        <v>36</v>
      </c>
      <c r="B169" s="132" t="s">
        <v>74</v>
      </c>
      <c r="C169" s="133">
        <v>2265</v>
      </c>
      <c r="D169" s="134"/>
      <c r="E169" s="46"/>
      <c r="F169" s="46"/>
      <c r="G169" s="135"/>
    </row>
    <row r="170" spans="1:7">
      <c r="A170" s="23">
        <v>37</v>
      </c>
      <c r="B170" s="41" t="s">
        <v>75</v>
      </c>
      <c r="C170" s="136">
        <v>2557</v>
      </c>
      <c r="D170" s="134"/>
      <c r="E170" s="46"/>
      <c r="F170" s="46"/>
      <c r="G170" s="135"/>
    </row>
    <row r="171" spans="1:7">
      <c r="A171" s="23">
        <v>38</v>
      </c>
      <c r="B171" s="26" t="s">
        <v>315</v>
      </c>
      <c r="C171" s="54">
        <f>SUM(C172:C174)</f>
        <v>4822</v>
      </c>
      <c r="D171" s="137"/>
      <c r="E171" s="138"/>
      <c r="F171" s="138"/>
      <c r="G171" s="138"/>
    </row>
    <row r="172" spans="1:7">
      <c r="A172" s="39" t="s">
        <v>118</v>
      </c>
      <c r="B172" s="28" t="s">
        <v>208</v>
      </c>
      <c r="C172" s="133">
        <v>1983</v>
      </c>
      <c r="D172" s="134"/>
      <c r="E172" s="46"/>
      <c r="F172" s="46"/>
      <c r="G172" s="135"/>
    </row>
    <row r="173" spans="1:7">
      <c r="A173" s="39" t="s">
        <v>119</v>
      </c>
      <c r="B173" s="28" t="s">
        <v>209</v>
      </c>
      <c r="C173" s="40">
        <v>372</v>
      </c>
      <c r="D173" s="134"/>
      <c r="E173" s="46"/>
      <c r="F173" s="46"/>
      <c r="G173" s="135"/>
    </row>
    <row r="174" spans="1:7">
      <c r="A174" s="27" t="s">
        <v>120</v>
      </c>
      <c r="B174" s="28" t="s">
        <v>210</v>
      </c>
      <c r="C174" s="40">
        <v>2467</v>
      </c>
      <c r="D174" s="134"/>
      <c r="E174" s="46"/>
      <c r="F174" s="46"/>
      <c r="G174" s="135"/>
    </row>
    <row r="175" spans="1:7">
      <c r="A175" s="23">
        <v>39</v>
      </c>
      <c r="B175" s="26" t="s">
        <v>316</v>
      </c>
      <c r="C175" s="54">
        <f>SUM(C176:C178)</f>
        <v>6639</v>
      </c>
      <c r="D175" s="134"/>
      <c r="E175" s="46"/>
      <c r="F175" s="46"/>
      <c r="G175" s="135"/>
    </row>
    <row r="176" spans="1:7">
      <c r="A176" s="39" t="s">
        <v>317</v>
      </c>
      <c r="B176" s="28" t="s">
        <v>76</v>
      </c>
      <c r="C176" s="40">
        <v>985</v>
      </c>
      <c r="D176" s="134"/>
      <c r="E176" s="46"/>
      <c r="F176" s="46"/>
      <c r="G176" s="135"/>
    </row>
    <row r="177" spans="1:7">
      <c r="A177" s="39" t="s">
        <v>318</v>
      </c>
      <c r="B177" s="28" t="s">
        <v>77</v>
      </c>
      <c r="C177" s="40">
        <v>2669</v>
      </c>
      <c r="D177" s="134"/>
      <c r="E177" s="46"/>
      <c r="F177" s="46"/>
      <c r="G177" s="135"/>
    </row>
    <row r="178" spans="1:7">
      <c r="A178" s="27" t="s">
        <v>319</v>
      </c>
      <c r="B178" s="28" t="s">
        <v>78</v>
      </c>
      <c r="C178" s="40">
        <v>2985</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869</v>
      </c>
      <c r="D181" s="134"/>
      <c r="E181" s="46"/>
      <c r="F181" s="46"/>
      <c r="G181" s="135"/>
    </row>
    <row r="182" spans="1:7">
      <c r="A182" s="23">
        <v>41</v>
      </c>
      <c r="B182" s="41" t="s">
        <v>75</v>
      </c>
      <c r="C182" s="40">
        <v>5717</v>
      </c>
      <c r="D182" s="134"/>
      <c r="E182" s="46"/>
      <c r="F182" s="46"/>
      <c r="G182" s="135"/>
    </row>
    <row r="183" spans="1:7">
      <c r="A183" s="23">
        <v>42</v>
      </c>
      <c r="B183" s="26" t="s">
        <v>320</v>
      </c>
      <c r="C183" s="54">
        <f>SUM(C184:C186)</f>
        <v>6586</v>
      </c>
      <c r="D183" s="134"/>
      <c r="E183" s="46"/>
      <c r="F183" s="46"/>
      <c r="G183" s="135"/>
    </row>
    <row r="184" spans="1:7">
      <c r="A184" s="39" t="s">
        <v>96</v>
      </c>
      <c r="B184" s="28" t="s">
        <v>211</v>
      </c>
      <c r="C184" s="136">
        <v>3684</v>
      </c>
      <c r="D184" s="134"/>
      <c r="E184" s="46"/>
      <c r="F184" s="46"/>
      <c r="G184" s="135"/>
    </row>
    <row r="185" spans="1:7">
      <c r="A185" s="39" t="s">
        <v>97</v>
      </c>
      <c r="B185" s="28" t="s">
        <v>212</v>
      </c>
      <c r="C185" s="40">
        <v>242</v>
      </c>
      <c r="D185" s="140"/>
      <c r="E185" s="141"/>
      <c r="F185" s="46"/>
      <c r="G185" s="135"/>
    </row>
    <row r="186" spans="1:7">
      <c r="A186" s="27" t="s">
        <v>98</v>
      </c>
      <c r="B186" s="28" t="s">
        <v>213</v>
      </c>
      <c r="C186" s="25">
        <v>2660</v>
      </c>
      <c r="D186" s="25"/>
      <c r="E186" s="25"/>
      <c r="F186" s="46"/>
    </row>
    <row r="187" spans="1:7">
      <c r="A187" s="23">
        <v>43</v>
      </c>
      <c r="B187" s="26" t="s">
        <v>321</v>
      </c>
      <c r="C187" s="54">
        <f>SUM(C188:C190)</f>
        <v>4273</v>
      </c>
      <c r="D187" s="25"/>
      <c r="E187" s="25"/>
      <c r="F187" s="46"/>
    </row>
    <row r="188" spans="1:7">
      <c r="A188" s="39" t="s">
        <v>100</v>
      </c>
      <c r="B188" s="28" t="s">
        <v>76</v>
      </c>
      <c r="C188" s="40">
        <v>919</v>
      </c>
      <c r="D188" s="25"/>
      <c r="E188" s="25"/>
      <c r="F188" s="46"/>
    </row>
    <row r="189" spans="1:7">
      <c r="A189" s="39" t="s">
        <v>101</v>
      </c>
      <c r="B189" s="28" t="s">
        <v>77</v>
      </c>
      <c r="C189" s="40">
        <v>2127</v>
      </c>
      <c r="D189" s="25"/>
      <c r="E189" s="25"/>
      <c r="F189" s="46"/>
    </row>
    <row r="190" spans="1:7">
      <c r="A190" s="25" t="s">
        <v>102</v>
      </c>
      <c r="B190" s="13" t="s">
        <v>78</v>
      </c>
      <c r="C190" s="40">
        <v>1227</v>
      </c>
      <c r="D190" s="25"/>
      <c r="E190" s="25"/>
      <c r="F190" s="46"/>
    </row>
    <row r="191" spans="1:7">
      <c r="D191" s="142"/>
      <c r="E191" s="143"/>
    </row>
    <row r="192" spans="1:7">
      <c r="A192" s="25"/>
      <c r="B192" s="6" t="s">
        <v>322</v>
      </c>
      <c r="C192" s="40" t="s">
        <v>90</v>
      </c>
      <c r="D192" s="1203" t="s">
        <v>81</v>
      </c>
      <c r="E192" s="1203"/>
      <c r="F192" s="131"/>
    </row>
    <row r="193" spans="1:6">
      <c r="A193" s="25"/>
      <c r="B193" s="10"/>
      <c r="C193" s="136"/>
      <c r="D193" s="567" t="s">
        <v>82</v>
      </c>
      <c r="E193" s="567" t="s">
        <v>83</v>
      </c>
      <c r="F193" s="144"/>
    </row>
    <row r="194" spans="1:6">
      <c r="A194" s="30">
        <v>44</v>
      </c>
      <c r="B194" s="169" t="s">
        <v>323</v>
      </c>
      <c r="C194" s="566">
        <v>232</v>
      </c>
      <c r="D194" s="566">
        <v>13</v>
      </c>
      <c r="E194" s="566">
        <v>0</v>
      </c>
      <c r="F194" s="566"/>
    </row>
    <row r="195" spans="1:6">
      <c r="A195" s="25" t="s">
        <v>121</v>
      </c>
      <c r="B195" s="565" t="s">
        <v>181</v>
      </c>
      <c r="C195" s="566">
        <v>218</v>
      </c>
      <c r="D195" s="566">
        <v>13</v>
      </c>
      <c r="E195" s="566">
        <v>0</v>
      </c>
      <c r="F195" s="566"/>
    </row>
    <row r="196" spans="1:6">
      <c r="A196" s="25" t="s">
        <v>122</v>
      </c>
      <c r="B196" s="565" t="s">
        <v>182</v>
      </c>
      <c r="C196" s="566">
        <v>14</v>
      </c>
      <c r="D196" s="566">
        <v>0</v>
      </c>
      <c r="E196" s="566">
        <v>0</v>
      </c>
      <c r="F196" s="566"/>
    </row>
    <row r="197" spans="1:6">
      <c r="A197" s="27" t="s">
        <v>123</v>
      </c>
      <c r="B197" s="565" t="s">
        <v>180</v>
      </c>
      <c r="C197" s="566" t="s">
        <v>400</v>
      </c>
      <c r="D197" s="566"/>
      <c r="E197" s="566"/>
      <c r="F197" s="566"/>
    </row>
    <row r="198" spans="1:6">
      <c r="A198" s="30">
        <v>45</v>
      </c>
      <c r="B198" s="169" t="s">
        <v>324</v>
      </c>
      <c r="C198" s="566">
        <v>6567</v>
      </c>
      <c r="D198" s="566">
        <v>600</v>
      </c>
      <c r="E198" s="566">
        <v>0</v>
      </c>
      <c r="F198" s="566"/>
    </row>
    <row r="199" spans="1:6">
      <c r="A199" s="25" t="s">
        <v>325</v>
      </c>
      <c r="B199" s="565" t="s">
        <v>80</v>
      </c>
      <c r="C199" s="566">
        <v>6413</v>
      </c>
      <c r="D199" s="566">
        <v>600</v>
      </c>
      <c r="E199" s="566">
        <v>0</v>
      </c>
      <c r="F199" s="566"/>
    </row>
    <row r="200" spans="1:6">
      <c r="A200" s="25" t="s">
        <v>326</v>
      </c>
      <c r="B200" s="565" t="s">
        <v>60</v>
      </c>
      <c r="C200" s="566">
        <v>154</v>
      </c>
      <c r="D200" s="566">
        <v>0</v>
      </c>
      <c r="E200" s="566">
        <v>0</v>
      </c>
      <c r="F200" s="566"/>
    </row>
    <row r="201" spans="1:6">
      <c r="A201" s="27" t="s">
        <v>327</v>
      </c>
      <c r="B201" s="565" t="s">
        <v>180</v>
      </c>
      <c r="C201" s="566" t="s">
        <v>400</v>
      </c>
      <c r="D201" s="566"/>
      <c r="E201" s="566"/>
      <c r="F201" s="566"/>
    </row>
    <row r="202" spans="1:6">
      <c r="A202" s="44"/>
      <c r="B202" s="564"/>
      <c r="C202" s="566"/>
      <c r="D202" s="566"/>
      <c r="E202" s="566"/>
      <c r="F202" s="566"/>
    </row>
    <row r="203" spans="1:6">
      <c r="A203" s="30">
        <v>46</v>
      </c>
      <c r="B203" s="563" t="s">
        <v>203</v>
      </c>
      <c r="C203" s="566">
        <v>228.3</v>
      </c>
      <c r="D203" s="566">
        <v>7</v>
      </c>
      <c r="E203" s="566"/>
      <c r="F203" s="566"/>
    </row>
    <row r="204" spans="1:6">
      <c r="A204" s="30">
        <v>47</v>
      </c>
      <c r="B204" s="562" t="s">
        <v>204</v>
      </c>
      <c r="C204" s="566">
        <v>1346</v>
      </c>
      <c r="D204" s="566">
        <v>34</v>
      </c>
      <c r="E204" s="566"/>
      <c r="F204" s="566"/>
    </row>
    <row r="205" spans="1:6">
      <c r="A205" s="30">
        <v>48</v>
      </c>
      <c r="B205" s="563" t="s">
        <v>179</v>
      </c>
      <c r="C205" s="566">
        <v>11</v>
      </c>
      <c r="D205" s="566"/>
      <c r="E205" s="566"/>
      <c r="F205" s="566"/>
    </row>
    <row r="206" spans="1:6">
      <c r="A206" s="30">
        <v>49</v>
      </c>
      <c r="B206" s="563" t="s">
        <v>61</v>
      </c>
      <c r="C206" s="566">
        <v>292</v>
      </c>
      <c r="D206" s="566"/>
      <c r="E206" s="566"/>
      <c r="F206" s="566"/>
    </row>
    <row r="207" spans="1:6">
      <c r="A207" s="148">
        <v>50</v>
      </c>
      <c r="B207" s="561" t="s">
        <v>202</v>
      </c>
      <c r="C207" s="566" t="s">
        <v>400</v>
      </c>
      <c r="D207" s="566"/>
      <c r="E207" s="566"/>
      <c r="F207" s="566"/>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c r="D211" s="52"/>
      <c r="E211" s="9">
        <f>SUM(E212,E214,E216,E218,E220,E222,E224,E226)</f>
        <v>454</v>
      </c>
      <c r="F211" s="10"/>
    </row>
    <row r="212" spans="1:6" s="1" customFormat="1">
      <c r="A212" s="27" t="s">
        <v>329</v>
      </c>
      <c r="B212" s="13" t="s">
        <v>226</v>
      </c>
      <c r="C212" s="9"/>
      <c r="D212" s="9"/>
      <c r="E212" s="9">
        <v>284</v>
      </c>
      <c r="F212" s="10"/>
    </row>
    <row r="213" spans="1:6" s="1" customFormat="1">
      <c r="A213" s="27" t="s">
        <v>330</v>
      </c>
      <c r="B213" s="35" t="s">
        <v>128</v>
      </c>
      <c r="C213" s="9"/>
      <c r="D213" s="9"/>
      <c r="E213" s="9">
        <v>82</v>
      </c>
      <c r="F213" s="10"/>
    </row>
    <row r="214" spans="1:6" s="1" customFormat="1">
      <c r="A214" s="27" t="s">
        <v>331</v>
      </c>
      <c r="B214" s="13" t="s">
        <v>227</v>
      </c>
      <c r="C214" s="9"/>
      <c r="D214" s="9"/>
      <c r="E214" s="9">
        <v>36</v>
      </c>
      <c r="F214" s="10"/>
    </row>
    <row r="215" spans="1:6" s="1" customFormat="1">
      <c r="A215" s="27" t="s">
        <v>332</v>
      </c>
      <c r="B215" s="35" t="s">
        <v>130</v>
      </c>
      <c r="C215" s="9"/>
      <c r="D215" s="9"/>
      <c r="E215" s="9">
        <v>36</v>
      </c>
      <c r="F215" s="10"/>
    </row>
    <row r="216" spans="1:6" s="1" customFormat="1">
      <c r="A216" s="27" t="s">
        <v>333</v>
      </c>
      <c r="B216" s="13" t="s">
        <v>232</v>
      </c>
      <c r="C216" s="9"/>
      <c r="D216" s="9"/>
      <c r="E216" s="9">
        <v>0</v>
      </c>
      <c r="F216" s="10"/>
    </row>
    <row r="217" spans="1:6" s="1" customFormat="1">
      <c r="A217" s="27" t="s">
        <v>334</v>
      </c>
      <c r="B217" s="35" t="s">
        <v>131</v>
      </c>
      <c r="C217" s="9"/>
      <c r="D217" s="9"/>
      <c r="E217" s="9">
        <v>0</v>
      </c>
      <c r="F217" s="10"/>
    </row>
    <row r="218" spans="1:6" s="1" customFormat="1">
      <c r="A218" s="27" t="s">
        <v>335</v>
      </c>
      <c r="B218" s="13" t="s">
        <v>233</v>
      </c>
      <c r="C218" s="9"/>
      <c r="D218" s="9"/>
      <c r="E218" s="9">
        <v>32</v>
      </c>
      <c r="F218" s="10"/>
    </row>
    <row r="219" spans="1:6" s="1" customFormat="1">
      <c r="A219" s="27" t="s">
        <v>336</v>
      </c>
      <c r="B219" s="35" t="s">
        <v>132</v>
      </c>
      <c r="C219" s="9"/>
      <c r="D219" s="9"/>
      <c r="E219" s="9">
        <v>19</v>
      </c>
      <c r="F219" s="10"/>
    </row>
    <row r="220" spans="1:6" s="1" customFormat="1">
      <c r="A220" s="27" t="s">
        <v>337</v>
      </c>
      <c r="B220" s="13" t="s">
        <v>234</v>
      </c>
      <c r="C220" s="9"/>
      <c r="D220" s="9"/>
      <c r="E220" s="9">
        <v>17</v>
      </c>
      <c r="F220" s="10"/>
    </row>
    <row r="221" spans="1:6" s="1" customFormat="1">
      <c r="A221" s="27" t="s">
        <v>338</v>
      </c>
      <c r="B221" s="35" t="s">
        <v>133</v>
      </c>
      <c r="C221" s="9"/>
      <c r="D221" s="9"/>
      <c r="E221" s="9">
        <v>15</v>
      </c>
      <c r="F221" s="10"/>
    </row>
    <row r="222" spans="1:6" s="1" customFormat="1">
      <c r="A222" s="27" t="s">
        <v>339</v>
      </c>
      <c r="B222" s="13" t="s">
        <v>235</v>
      </c>
      <c r="C222" s="9"/>
      <c r="D222" s="9"/>
      <c r="E222" s="9">
        <v>52</v>
      </c>
      <c r="F222" s="10"/>
    </row>
    <row r="223" spans="1:6" s="1" customFormat="1">
      <c r="A223" s="27" t="s">
        <v>340</v>
      </c>
      <c r="B223" s="35" t="s">
        <v>134</v>
      </c>
      <c r="C223" s="9"/>
      <c r="D223" s="9"/>
      <c r="E223" s="9">
        <v>52</v>
      </c>
      <c r="F223" s="10"/>
    </row>
    <row r="224" spans="1:6" s="1" customFormat="1">
      <c r="A224" s="27" t="s">
        <v>341</v>
      </c>
      <c r="B224" s="13" t="s">
        <v>236</v>
      </c>
      <c r="C224" s="9"/>
      <c r="D224" s="9"/>
      <c r="E224" s="9">
        <v>30</v>
      </c>
      <c r="F224" s="10"/>
    </row>
    <row r="225" spans="1:8" s="1" customFormat="1">
      <c r="A225" s="27" t="s">
        <v>342</v>
      </c>
      <c r="B225" s="35" t="s">
        <v>135</v>
      </c>
      <c r="C225" s="9"/>
      <c r="D225" s="9"/>
      <c r="E225" s="9">
        <v>30</v>
      </c>
      <c r="F225" s="10"/>
    </row>
    <row r="226" spans="1:8" s="1" customFormat="1">
      <c r="A226" s="27" t="s">
        <v>343</v>
      </c>
      <c r="B226" s="13" t="s">
        <v>237</v>
      </c>
      <c r="C226" s="9"/>
      <c r="D226" s="9"/>
      <c r="E226" s="9">
        <v>3</v>
      </c>
      <c r="F226" s="10"/>
    </row>
    <row r="227" spans="1:8" s="1" customFormat="1" ht="25.5">
      <c r="A227" s="27" t="s">
        <v>344</v>
      </c>
      <c r="B227" s="152" t="s">
        <v>136</v>
      </c>
      <c r="C227" s="9"/>
      <c r="D227" s="9"/>
      <c r="E227" s="9">
        <v>0</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96" t="s">
        <v>400</v>
      </c>
      <c r="D230" s="47"/>
      <c r="E230" s="47"/>
      <c r="F230" s="47"/>
    </row>
    <row r="231" spans="1:8">
      <c r="A231" s="27" t="s">
        <v>347</v>
      </c>
      <c r="B231" s="152" t="s">
        <v>115</v>
      </c>
      <c r="C231" s="156" t="s">
        <v>400</v>
      </c>
      <c r="D231" s="47"/>
      <c r="E231" s="47"/>
      <c r="F231" s="47"/>
    </row>
    <row r="232" spans="1:8" ht="25.5">
      <c r="A232" s="27" t="s">
        <v>348</v>
      </c>
      <c r="B232" s="155" t="s">
        <v>239</v>
      </c>
      <c r="C232" s="156" t="s">
        <v>400</v>
      </c>
      <c r="D232" s="47"/>
      <c r="E232" s="47"/>
      <c r="F232" s="47"/>
    </row>
    <row r="233" spans="1:8">
      <c r="A233" s="27" t="s">
        <v>349</v>
      </c>
      <c r="B233" s="152" t="s">
        <v>116</v>
      </c>
      <c r="C233" s="156" t="s">
        <v>400</v>
      </c>
      <c r="D233" s="47"/>
      <c r="E233" s="47"/>
      <c r="F233" s="47"/>
    </row>
    <row r="234" spans="1:8" ht="25.5">
      <c r="A234" s="27" t="s">
        <v>350</v>
      </c>
      <c r="B234" s="155" t="s">
        <v>240</v>
      </c>
      <c r="C234" s="156" t="s">
        <v>400</v>
      </c>
      <c r="D234" s="47"/>
      <c r="E234" s="47"/>
      <c r="F234" s="47"/>
    </row>
    <row r="235" spans="1:8">
      <c r="A235" s="27" t="s">
        <v>351</v>
      </c>
      <c r="B235" s="152" t="s">
        <v>117</v>
      </c>
      <c r="C235" s="157" t="s">
        <v>400</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77</v>
      </c>
      <c r="D239" s="25"/>
      <c r="E239" s="40"/>
      <c r="F239" s="40"/>
      <c r="G239" s="10"/>
      <c r="H239" s="3"/>
    </row>
    <row r="240" spans="1:8">
      <c r="A240" s="30">
        <v>53</v>
      </c>
      <c r="B240" s="10" t="s">
        <v>63</v>
      </c>
      <c r="C240" s="25">
        <v>15122</v>
      </c>
      <c r="D240" s="25"/>
      <c r="E240" s="40"/>
      <c r="F240" s="40"/>
      <c r="G240" s="10"/>
      <c r="H240" s="3"/>
    </row>
    <row r="241" spans="1:10">
      <c r="A241" s="30">
        <v>54</v>
      </c>
      <c r="B241" s="10" t="s">
        <v>215</v>
      </c>
      <c r="C241" s="25"/>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60">
        <f>SUM(C246:C251)</f>
        <v>367</v>
      </c>
      <c r="D245" s="560">
        <f>SUM(D246:D251)</f>
        <v>217</v>
      </c>
      <c r="E245" s="559">
        <f>SUM(E246:E251)</f>
        <v>71</v>
      </c>
      <c r="F245" s="559">
        <f>SUM(F246:F251)</f>
        <v>61</v>
      </c>
      <c r="G245" s="560">
        <f>SUM(C245:F245)</f>
        <v>716</v>
      </c>
      <c r="H245" s="145"/>
    </row>
    <row r="246" spans="1:10">
      <c r="A246" s="25" t="s">
        <v>353</v>
      </c>
      <c r="B246" s="565" t="s">
        <v>64</v>
      </c>
      <c r="C246" s="566">
        <v>3</v>
      </c>
      <c r="D246" s="566">
        <v>2</v>
      </c>
      <c r="E246" s="566">
        <v>4</v>
      </c>
      <c r="F246" s="566">
        <v>17</v>
      </c>
      <c r="G246" s="566"/>
      <c r="J246" s="25"/>
    </row>
    <row r="247" spans="1:10">
      <c r="A247" s="27" t="s">
        <v>354</v>
      </c>
      <c r="B247" s="565" t="s">
        <v>65</v>
      </c>
      <c r="C247" s="566">
        <v>0</v>
      </c>
      <c r="D247" s="566">
        <v>2</v>
      </c>
      <c r="E247" s="566">
        <v>17</v>
      </c>
      <c r="F247" s="566">
        <v>22</v>
      </c>
      <c r="G247" s="566"/>
    </row>
    <row r="248" spans="1:10">
      <c r="A248" s="27" t="s">
        <v>355</v>
      </c>
      <c r="B248" s="565" t="s">
        <v>66</v>
      </c>
      <c r="C248" s="566">
        <v>2</v>
      </c>
      <c r="D248" s="566">
        <v>3</v>
      </c>
      <c r="E248" s="566">
        <v>10</v>
      </c>
      <c r="F248" s="566">
        <v>8</v>
      </c>
      <c r="G248" s="566"/>
    </row>
    <row r="249" spans="1:10">
      <c r="A249" s="27" t="s">
        <v>356</v>
      </c>
      <c r="B249" s="565" t="s">
        <v>67</v>
      </c>
      <c r="C249" s="566">
        <v>0</v>
      </c>
      <c r="D249" s="566">
        <v>0</v>
      </c>
      <c r="E249" s="566">
        <v>1</v>
      </c>
      <c r="F249" s="566">
        <v>2</v>
      </c>
      <c r="G249" s="566"/>
    </row>
    <row r="250" spans="1:10">
      <c r="A250" s="25" t="s">
        <v>357</v>
      </c>
      <c r="B250" s="565" t="s">
        <v>68</v>
      </c>
      <c r="C250" s="566">
        <v>3</v>
      </c>
      <c r="D250" s="566">
        <v>3</v>
      </c>
      <c r="E250" s="566">
        <v>9</v>
      </c>
      <c r="F250" s="566">
        <v>6</v>
      </c>
      <c r="G250" s="566"/>
    </row>
    <row r="251" spans="1:10" ht="24.75">
      <c r="A251" s="27" t="s">
        <v>358</v>
      </c>
      <c r="B251" s="558" t="s">
        <v>183</v>
      </c>
      <c r="C251" s="566">
        <v>359</v>
      </c>
      <c r="D251" s="566">
        <v>207</v>
      </c>
      <c r="E251" s="566">
        <v>30</v>
      </c>
      <c r="F251" s="566">
        <v>6</v>
      </c>
      <c r="G251" s="566"/>
      <c r="H251" t="s">
        <v>708</v>
      </c>
    </row>
    <row r="252" spans="1:10" ht="15">
      <c r="B252" s="161"/>
    </row>
  </sheetData>
  <mergeCells count="94">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49:E49"/>
    <mergeCell ref="D38:E38"/>
    <mergeCell ref="D39:E39"/>
    <mergeCell ref="A40:G40"/>
    <mergeCell ref="A41:G41"/>
    <mergeCell ref="D42:E42"/>
    <mergeCell ref="C43:E43"/>
    <mergeCell ref="D44:E44"/>
    <mergeCell ref="D45:E45"/>
    <mergeCell ref="D46:E46"/>
    <mergeCell ref="D47:E47"/>
    <mergeCell ref="D48:E48"/>
    <mergeCell ref="D61:E61"/>
    <mergeCell ref="D50:E50"/>
    <mergeCell ref="D51:E51"/>
    <mergeCell ref="D52:E52"/>
    <mergeCell ref="D53:E53"/>
    <mergeCell ref="D54:E54"/>
    <mergeCell ref="D55:E55"/>
    <mergeCell ref="D56:E56"/>
    <mergeCell ref="D57:E57"/>
    <mergeCell ref="D58:E58"/>
    <mergeCell ref="D59:E59"/>
    <mergeCell ref="D60:E60"/>
    <mergeCell ref="D73:E73"/>
    <mergeCell ref="D62:E62"/>
    <mergeCell ref="D63:E63"/>
    <mergeCell ref="D64:E64"/>
    <mergeCell ref="D65:E65"/>
    <mergeCell ref="D66:E66"/>
    <mergeCell ref="D67:E67"/>
    <mergeCell ref="D68:E68"/>
    <mergeCell ref="D69:E69"/>
    <mergeCell ref="D70:E70"/>
    <mergeCell ref="D71:E71"/>
    <mergeCell ref="D72:E72"/>
    <mergeCell ref="D85:E85"/>
    <mergeCell ref="D74:E74"/>
    <mergeCell ref="D75:E75"/>
    <mergeCell ref="D76:E76"/>
    <mergeCell ref="D77:E77"/>
    <mergeCell ref="D78:E78"/>
    <mergeCell ref="D79:E79"/>
    <mergeCell ref="D80:E80"/>
    <mergeCell ref="D81:E81"/>
    <mergeCell ref="D82:E82"/>
    <mergeCell ref="D83:E83"/>
    <mergeCell ref="D84:E84"/>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legacyDrawing r:id="rId2"/>
</worksheet>
</file>

<file path=xl/worksheets/sheet23.xml><?xml version="1.0" encoding="utf-8"?>
<worksheet xmlns="http://schemas.openxmlformats.org/spreadsheetml/2006/main" xmlns:r="http://schemas.openxmlformats.org/officeDocument/2006/relationships">
  <dimension ref="A1:J252"/>
  <sheetViews>
    <sheetView topLeftCell="A4" workbookViewId="0">
      <selection activeCell="D38" sqref="D38:E38"/>
    </sheetView>
  </sheetViews>
  <sheetFormatPr defaultColWidth="8.85546875" defaultRowHeight="12.75"/>
  <cols>
    <col min="1" max="1" width="11.28515625" customWidth="1"/>
    <col min="2" max="2" width="60.28515625" customWidth="1"/>
    <col min="3" max="3" width="11.28515625" customWidth="1"/>
    <col min="4" max="4" width="14.42578125" customWidth="1"/>
    <col min="5" max="5" width="12.5703125" customWidth="1"/>
    <col min="6" max="6" width="6.28515625" customWidth="1"/>
    <col min="7" max="7" width="12.140625" customWidth="1"/>
    <col min="8" max="8" width="9.140625" customWidth="1"/>
  </cols>
  <sheetData>
    <row r="1" spans="1:8" ht="18">
      <c r="A1" s="593"/>
      <c r="B1" s="594" t="s">
        <v>241</v>
      </c>
      <c r="C1" s="594"/>
      <c r="D1" s="648" t="s">
        <v>393</v>
      </c>
      <c r="E1" s="595"/>
      <c r="F1" s="595"/>
      <c r="G1" s="594"/>
      <c r="H1" s="596"/>
    </row>
    <row r="2" spans="1:8">
      <c r="A2" s="597"/>
      <c r="B2" s="596"/>
      <c r="C2" s="597"/>
      <c r="D2" s="597"/>
      <c r="E2" s="597"/>
      <c r="F2" s="597"/>
      <c r="G2" s="596"/>
      <c r="H2" s="596"/>
    </row>
    <row r="3" spans="1:8" ht="15.75">
      <c r="A3" s="598" t="s">
        <v>161</v>
      </c>
      <c r="B3" s="677" t="s">
        <v>715</v>
      </c>
      <c r="C3" s="600"/>
      <c r="D3" s="601" t="s">
        <v>185</v>
      </c>
      <c r="E3" s="600"/>
      <c r="F3" s="600"/>
      <c r="G3" s="596"/>
      <c r="H3" s="596"/>
    </row>
    <row r="4" spans="1:8">
      <c r="A4" s="597"/>
      <c r="B4" s="596"/>
      <c r="C4" s="597"/>
      <c r="D4" s="597"/>
      <c r="E4" s="597"/>
      <c r="F4" s="597"/>
      <c r="G4" s="596"/>
      <c r="H4" s="596"/>
    </row>
    <row r="5" spans="1:8" ht="12.75" customHeight="1">
      <c r="A5" s="1237" t="s">
        <v>189</v>
      </c>
      <c r="B5" s="677" t="s">
        <v>716</v>
      </c>
      <c r="C5" s="600"/>
      <c r="D5" s="602" t="s">
        <v>186</v>
      </c>
      <c r="E5" s="600"/>
      <c r="F5" s="600"/>
      <c r="G5" s="596"/>
      <c r="H5" s="596"/>
    </row>
    <row r="6" spans="1:8" ht="20.25" customHeight="1">
      <c r="A6" s="1237"/>
      <c r="B6" s="600"/>
      <c r="C6" s="597"/>
      <c r="D6" s="603" t="s">
        <v>187</v>
      </c>
      <c r="E6" s="597"/>
      <c r="F6" s="597"/>
      <c r="G6" s="596"/>
      <c r="H6" s="596"/>
    </row>
    <row r="7" spans="1:8" ht="12.75" customHeight="1">
      <c r="A7" s="1237" t="s">
        <v>184</v>
      </c>
      <c r="B7" s="677" t="s">
        <v>717</v>
      </c>
      <c r="C7" s="600"/>
      <c r="D7" s="600"/>
      <c r="E7" s="600"/>
      <c r="F7" s="600"/>
      <c r="G7" s="596"/>
      <c r="H7" s="596"/>
    </row>
    <row r="8" spans="1:8">
      <c r="A8" s="1237"/>
      <c r="B8" s="596"/>
      <c r="C8" s="600"/>
      <c r="D8" s="603" t="s">
        <v>188</v>
      </c>
      <c r="E8" s="597"/>
      <c r="F8" s="597"/>
      <c r="G8" s="596"/>
      <c r="H8" s="596"/>
    </row>
    <row r="9" spans="1:8">
      <c r="A9" s="604" t="s">
        <v>190</v>
      </c>
      <c r="B9" s="650" t="s">
        <v>718</v>
      </c>
      <c r="C9" s="600"/>
      <c r="D9" s="597"/>
      <c r="E9" s="597"/>
      <c r="F9" s="597"/>
      <c r="G9" s="596"/>
      <c r="H9" s="596"/>
    </row>
    <row r="10" spans="1:8">
      <c r="A10" s="595"/>
      <c r="B10" s="596"/>
      <c r="C10" s="597"/>
      <c r="D10" s="605" t="s">
        <v>242</v>
      </c>
      <c r="E10" s="597"/>
      <c r="F10" s="606"/>
      <c r="G10" s="596"/>
      <c r="H10" s="596"/>
    </row>
    <row r="11" spans="1:8">
      <c r="A11" s="607" t="s">
        <v>162</v>
      </c>
      <c r="B11" s="599" t="s">
        <v>719</v>
      </c>
      <c r="C11" s="600"/>
      <c r="D11" s="597"/>
      <c r="E11" s="597"/>
      <c r="F11" s="597"/>
      <c r="G11" s="596"/>
      <c r="H11" s="596"/>
    </row>
    <row r="12" spans="1:8">
      <c r="A12" s="597"/>
      <c r="B12" s="596"/>
      <c r="C12" s="597"/>
      <c r="D12" s="595"/>
      <c r="E12" s="597"/>
      <c r="F12" s="597"/>
      <c r="G12" s="596"/>
      <c r="H12" s="596"/>
    </row>
    <row r="13" spans="1:8">
      <c r="A13" s="1238" t="s">
        <v>163</v>
      </c>
      <c r="B13" s="599" t="s">
        <v>720</v>
      </c>
      <c r="C13" s="600"/>
      <c r="D13" s="600"/>
      <c r="E13" s="597"/>
      <c r="F13" s="597"/>
      <c r="G13" s="596"/>
      <c r="H13" s="596"/>
    </row>
    <row r="14" spans="1:8">
      <c r="A14" s="1238"/>
      <c r="B14" s="596"/>
      <c r="C14" s="596"/>
      <c r="D14" s="596"/>
      <c r="E14" s="596"/>
      <c r="F14" s="596"/>
      <c r="G14" s="596"/>
      <c r="H14" s="596"/>
    </row>
    <row r="16" spans="1:8" ht="13.5">
      <c r="A16" s="1316" t="s">
        <v>359</v>
      </c>
      <c r="B16" s="1414"/>
      <c r="C16" s="1319"/>
      <c r="D16" s="1319"/>
      <c r="E16" s="1319"/>
      <c r="F16" s="1319"/>
      <c r="G16" s="1409"/>
      <c r="H16" s="608"/>
    </row>
    <row r="17" spans="1:8">
      <c r="A17" s="572" t="s">
        <v>86</v>
      </c>
      <c r="B17" s="572" t="s">
        <v>8</v>
      </c>
      <c r="C17" s="572" t="s">
        <v>0</v>
      </c>
      <c r="D17" s="1407" t="s">
        <v>149</v>
      </c>
      <c r="E17" s="1407"/>
      <c r="F17" s="609"/>
      <c r="G17" s="610"/>
      <c r="H17" s="611"/>
    </row>
    <row r="18" spans="1:8">
      <c r="A18" s="572">
        <v>1</v>
      </c>
      <c r="B18" s="573" t="s">
        <v>1</v>
      </c>
      <c r="C18" s="574">
        <v>1</v>
      </c>
      <c r="D18" s="1405" t="s">
        <v>721</v>
      </c>
      <c r="E18" s="1405"/>
      <c r="F18" s="612"/>
      <c r="G18" s="613"/>
      <c r="H18" s="600"/>
    </row>
    <row r="19" spans="1:8" ht="25.5">
      <c r="A19" s="575" t="s">
        <v>111</v>
      </c>
      <c r="B19" s="614" t="s">
        <v>228</v>
      </c>
      <c r="C19" s="574">
        <v>6</v>
      </c>
      <c r="D19" s="1405" t="s">
        <v>721</v>
      </c>
      <c r="E19" s="1405"/>
      <c r="F19" s="612"/>
      <c r="G19" s="613"/>
      <c r="H19" s="600"/>
    </row>
    <row r="20" spans="1:8" ht="25.5">
      <c r="A20" s="575" t="s">
        <v>112</v>
      </c>
      <c r="B20" s="614" t="s">
        <v>229</v>
      </c>
      <c r="C20" s="574">
        <v>12</v>
      </c>
      <c r="D20" s="1405" t="s">
        <v>721</v>
      </c>
      <c r="E20" s="1405"/>
      <c r="F20" s="612"/>
      <c r="G20" s="613"/>
      <c r="H20" s="600"/>
    </row>
    <row r="21" spans="1:8" ht="25.5">
      <c r="A21" s="575" t="s">
        <v>113</v>
      </c>
      <c r="B21" s="615" t="s">
        <v>230</v>
      </c>
      <c r="C21" s="574">
        <v>5</v>
      </c>
      <c r="D21" s="1405" t="s">
        <v>721</v>
      </c>
      <c r="E21" s="1405"/>
      <c r="F21" s="612"/>
      <c r="G21" s="613"/>
      <c r="H21" s="600"/>
    </row>
    <row r="22" spans="1:8" ht="25.5">
      <c r="A22" s="575" t="s">
        <v>114</v>
      </c>
      <c r="B22" s="615" t="s">
        <v>231</v>
      </c>
      <c r="C22" s="577">
        <v>3</v>
      </c>
      <c r="D22" s="1405" t="s">
        <v>721</v>
      </c>
      <c r="E22" s="1405"/>
      <c r="F22" s="612"/>
      <c r="G22" s="613"/>
      <c r="H22" s="600"/>
    </row>
    <row r="23" spans="1:8">
      <c r="A23" s="1313"/>
      <c r="B23" s="1408"/>
      <c r="C23" s="1319"/>
      <c r="D23" s="1319"/>
      <c r="E23" s="1319"/>
      <c r="F23" s="1319"/>
      <c r="G23" s="1409"/>
      <c r="H23" s="608"/>
    </row>
    <row r="24" spans="1:8" ht="13.5">
      <c r="A24" s="1316" t="s">
        <v>360</v>
      </c>
      <c r="B24" s="1413"/>
      <c r="C24" s="1413"/>
      <c r="D24" s="1413"/>
      <c r="E24" s="1413"/>
      <c r="F24" s="1413"/>
      <c r="G24" s="1409"/>
      <c r="H24" s="608"/>
    </row>
    <row r="25" spans="1:8">
      <c r="A25" s="572" t="s">
        <v>86</v>
      </c>
      <c r="B25" s="572" t="s">
        <v>8</v>
      </c>
      <c r="C25" s="572" t="s">
        <v>2</v>
      </c>
      <c r="D25" s="1407" t="s">
        <v>149</v>
      </c>
      <c r="E25" s="1407"/>
      <c r="F25" s="609"/>
      <c r="G25" s="610"/>
      <c r="H25" s="611"/>
    </row>
    <row r="26" spans="1:8">
      <c r="A26" s="572">
        <v>2</v>
      </c>
      <c r="B26" s="573" t="s">
        <v>243</v>
      </c>
      <c r="C26" s="586">
        <f>SUM(C27:C30)</f>
        <v>12.5</v>
      </c>
      <c r="D26" s="1405" t="s">
        <v>721</v>
      </c>
      <c r="E26" s="1405"/>
      <c r="F26" s="612"/>
      <c r="G26" s="613"/>
      <c r="H26" s="600"/>
    </row>
    <row r="27" spans="1:8">
      <c r="A27" s="574" t="s">
        <v>3</v>
      </c>
      <c r="B27" s="576" t="s">
        <v>4</v>
      </c>
      <c r="C27" s="578">
        <v>8.5</v>
      </c>
      <c r="D27" s="1405" t="s">
        <v>721</v>
      </c>
      <c r="E27" s="1405"/>
      <c r="F27" s="612"/>
      <c r="G27" s="613"/>
      <c r="H27" s="600"/>
    </row>
    <row r="28" spans="1:8">
      <c r="A28" s="575" t="s">
        <v>5</v>
      </c>
      <c r="B28" s="576" t="s">
        <v>144</v>
      </c>
      <c r="C28" s="578">
        <v>2</v>
      </c>
      <c r="D28" s="1405" t="s">
        <v>721</v>
      </c>
      <c r="E28" s="1405"/>
      <c r="F28" s="612"/>
      <c r="G28" s="613"/>
      <c r="H28" s="600"/>
    </row>
    <row r="29" spans="1:8">
      <c r="A29" s="574" t="s">
        <v>145</v>
      </c>
      <c r="B29" s="576" t="s">
        <v>146</v>
      </c>
      <c r="C29" s="578">
        <v>2</v>
      </c>
      <c r="D29" s="1309" t="s">
        <v>721</v>
      </c>
      <c r="E29" s="1412"/>
      <c r="F29" s="617"/>
      <c r="G29" s="613"/>
      <c r="H29" s="600"/>
    </row>
    <row r="30" spans="1:8">
      <c r="A30" s="574" t="s">
        <v>244</v>
      </c>
      <c r="B30" s="576" t="s">
        <v>245</v>
      </c>
      <c r="C30" s="578">
        <v>0</v>
      </c>
      <c r="D30" s="616" t="s">
        <v>721</v>
      </c>
      <c r="E30" s="617"/>
      <c r="F30" s="617"/>
      <c r="G30" s="613"/>
      <c r="H30" s="600"/>
    </row>
    <row r="31" spans="1:8">
      <c r="A31" s="572">
        <v>3</v>
      </c>
      <c r="B31" s="573" t="s">
        <v>14</v>
      </c>
      <c r="C31" s="586">
        <f>SUM(C32:C34)</f>
        <v>24</v>
      </c>
      <c r="D31" s="1405" t="s">
        <v>721</v>
      </c>
      <c r="E31" s="1405"/>
      <c r="F31" s="612"/>
      <c r="G31" s="613"/>
      <c r="H31" s="600"/>
    </row>
    <row r="32" spans="1:8">
      <c r="A32" s="574" t="s">
        <v>6</v>
      </c>
      <c r="B32" s="576" t="s">
        <v>7</v>
      </c>
      <c r="C32" s="578">
        <v>17</v>
      </c>
      <c r="D32" s="1405" t="s">
        <v>721</v>
      </c>
      <c r="E32" s="1405"/>
      <c r="F32" s="612"/>
      <c r="G32" s="613"/>
      <c r="H32" s="600"/>
    </row>
    <row r="33" spans="1:8">
      <c r="A33" s="575" t="s">
        <v>12</v>
      </c>
      <c r="B33" s="576" t="s">
        <v>15</v>
      </c>
      <c r="C33" s="578">
        <v>2</v>
      </c>
      <c r="D33" s="1405" t="s">
        <v>721</v>
      </c>
      <c r="E33" s="1405"/>
      <c r="F33" s="612"/>
      <c r="G33" s="613"/>
      <c r="H33" s="600"/>
    </row>
    <row r="34" spans="1:8">
      <c r="A34" s="575" t="s">
        <v>13</v>
      </c>
      <c r="B34" s="576" t="s">
        <v>148</v>
      </c>
      <c r="C34" s="578">
        <v>5</v>
      </c>
      <c r="D34" s="1405" t="s">
        <v>721</v>
      </c>
      <c r="E34" s="1405"/>
      <c r="F34" s="612"/>
      <c r="G34" s="613"/>
      <c r="H34" s="600"/>
    </row>
    <row r="35" spans="1:8">
      <c r="A35" s="572">
        <v>4</v>
      </c>
      <c r="B35" s="579" t="s">
        <v>17</v>
      </c>
      <c r="C35" s="578"/>
      <c r="D35" s="1405" t="s">
        <v>721</v>
      </c>
      <c r="E35" s="1405"/>
      <c r="F35" s="612"/>
      <c r="G35" s="613"/>
      <c r="H35" s="600"/>
    </row>
    <row r="36" spans="1:8">
      <c r="A36" s="575" t="s">
        <v>16</v>
      </c>
      <c r="B36" s="576" t="s">
        <v>84</v>
      </c>
      <c r="C36" s="578">
        <v>2.5</v>
      </c>
      <c r="D36" s="1405" t="s">
        <v>721</v>
      </c>
      <c r="E36" s="1405"/>
      <c r="F36" s="612"/>
      <c r="G36" s="613"/>
      <c r="H36" s="600"/>
    </row>
    <row r="37" spans="1:8" ht="25.5">
      <c r="A37" s="572">
        <v>5</v>
      </c>
      <c r="B37" s="618" t="s">
        <v>26</v>
      </c>
      <c r="C37" s="578">
        <v>18.5</v>
      </c>
      <c r="D37" s="1405" t="s">
        <v>721</v>
      </c>
      <c r="E37" s="1405"/>
      <c r="F37" s="612"/>
      <c r="G37" s="613"/>
      <c r="H37" s="600"/>
    </row>
    <row r="38" spans="1:8">
      <c r="A38" s="580" t="s">
        <v>147</v>
      </c>
      <c r="B38" s="579" t="s">
        <v>150</v>
      </c>
      <c r="C38" s="578">
        <v>0.4</v>
      </c>
      <c r="D38" s="1407" t="s">
        <v>721</v>
      </c>
      <c r="E38" s="1407"/>
      <c r="F38" s="609"/>
      <c r="G38" s="613"/>
      <c r="H38" s="600"/>
    </row>
    <row r="39" spans="1:8">
      <c r="A39" s="572">
        <v>6</v>
      </c>
      <c r="B39" s="573" t="s">
        <v>85</v>
      </c>
      <c r="C39" s="586">
        <f>SUM(C26+C31+C35+C37)</f>
        <v>55</v>
      </c>
      <c r="D39" s="1405" t="s">
        <v>721</v>
      </c>
      <c r="E39" s="1405"/>
      <c r="F39" s="612"/>
      <c r="G39" s="613"/>
      <c r="H39" s="600"/>
    </row>
    <row r="40" spans="1:8">
      <c r="A40" s="1313"/>
      <c r="B40" s="1408"/>
      <c r="C40" s="1319"/>
      <c r="D40" s="1319"/>
      <c r="E40" s="1319"/>
      <c r="F40" s="1319"/>
      <c r="G40" s="1409"/>
      <c r="H40" s="608"/>
    </row>
    <row r="41" spans="1:8" ht="15.75">
      <c r="A41" s="1316" t="s">
        <v>361</v>
      </c>
      <c r="B41" s="1410"/>
      <c r="C41" s="1410"/>
      <c r="D41" s="1410"/>
      <c r="E41" s="1410"/>
      <c r="F41" s="1410"/>
      <c r="G41" s="1411"/>
      <c r="H41" s="619"/>
    </row>
    <row r="42" spans="1:8">
      <c r="A42" s="572" t="s">
        <v>86</v>
      </c>
      <c r="B42" s="572" t="s">
        <v>8</v>
      </c>
      <c r="C42" s="572" t="s">
        <v>9</v>
      </c>
      <c r="D42" s="1407" t="s">
        <v>149</v>
      </c>
      <c r="E42" s="1407"/>
      <c r="F42" s="609"/>
      <c r="G42" s="610"/>
      <c r="H42" s="611"/>
    </row>
    <row r="43" spans="1:8">
      <c r="A43" s="572"/>
      <c r="B43" s="620" t="s">
        <v>10</v>
      </c>
      <c r="C43" s="1405"/>
      <c r="D43" s="1405"/>
      <c r="E43" s="1405"/>
      <c r="F43" s="612"/>
      <c r="G43" s="613"/>
      <c r="H43" s="600"/>
    </row>
    <row r="44" spans="1:8">
      <c r="A44" s="572">
        <v>7</v>
      </c>
      <c r="B44" s="573" t="s">
        <v>246</v>
      </c>
      <c r="C44" s="621">
        <f>SUM(C45:C47)</f>
        <v>1103596</v>
      </c>
      <c r="D44" s="1405" t="s">
        <v>721</v>
      </c>
      <c r="E44" s="1405"/>
      <c r="F44" s="612"/>
      <c r="G44" s="613"/>
      <c r="H44" s="600"/>
    </row>
    <row r="45" spans="1:8">
      <c r="A45" s="574" t="s">
        <v>11</v>
      </c>
      <c r="B45" s="576" t="s">
        <v>19</v>
      </c>
      <c r="C45" s="587">
        <v>736336</v>
      </c>
      <c r="D45" s="1405" t="s">
        <v>721</v>
      </c>
      <c r="E45" s="1405"/>
      <c r="F45" s="612"/>
      <c r="G45" s="613"/>
      <c r="H45" s="600"/>
    </row>
    <row r="46" spans="1:8">
      <c r="A46" s="575" t="s">
        <v>18</v>
      </c>
      <c r="B46" s="576" t="s">
        <v>151</v>
      </c>
      <c r="C46" s="587">
        <v>367260</v>
      </c>
      <c r="D46" s="1405" t="s">
        <v>721</v>
      </c>
      <c r="E46" s="1405"/>
      <c r="F46" s="612"/>
      <c r="G46" s="613"/>
      <c r="H46" s="600"/>
    </row>
    <row r="47" spans="1:8">
      <c r="A47" s="574" t="s">
        <v>247</v>
      </c>
      <c r="B47" s="576" t="s">
        <v>248</v>
      </c>
      <c r="C47" s="591">
        <v>0</v>
      </c>
      <c r="D47" s="612" t="s">
        <v>721</v>
      </c>
      <c r="E47" s="612"/>
      <c r="F47" s="612"/>
      <c r="G47" s="613"/>
      <c r="H47" s="600"/>
    </row>
    <row r="48" spans="1:8">
      <c r="A48" s="572">
        <v>8</v>
      </c>
      <c r="B48" s="573" t="s">
        <v>109</v>
      </c>
      <c r="C48" s="621">
        <f>SUM(C49:C51)</f>
        <v>1041829</v>
      </c>
      <c r="D48" s="1405" t="s">
        <v>721</v>
      </c>
      <c r="E48" s="1405"/>
      <c r="F48" s="612"/>
      <c r="G48" s="613"/>
      <c r="H48" s="600"/>
    </row>
    <row r="49" spans="1:8">
      <c r="A49" s="581" t="s">
        <v>20</v>
      </c>
      <c r="B49" s="582" t="s">
        <v>23</v>
      </c>
      <c r="C49" s="587">
        <v>668998</v>
      </c>
      <c r="D49" s="1405" t="s">
        <v>721</v>
      </c>
      <c r="E49" s="1405"/>
      <c r="F49" s="612"/>
      <c r="G49" s="613"/>
      <c r="H49" s="600"/>
    </row>
    <row r="50" spans="1:8">
      <c r="A50" s="575" t="s">
        <v>21</v>
      </c>
      <c r="B50" s="576" t="s">
        <v>24</v>
      </c>
      <c r="C50" s="587">
        <v>77823</v>
      </c>
      <c r="D50" s="1405" t="s">
        <v>721</v>
      </c>
      <c r="E50" s="1405"/>
      <c r="F50" s="612"/>
      <c r="G50" s="613"/>
      <c r="H50" s="600"/>
    </row>
    <row r="51" spans="1:8">
      <c r="A51" s="575" t="s">
        <v>22</v>
      </c>
      <c r="B51" s="576" t="s">
        <v>25</v>
      </c>
      <c r="C51" s="587">
        <v>295008</v>
      </c>
      <c r="D51" s="1405" t="s">
        <v>721</v>
      </c>
      <c r="E51" s="1405"/>
      <c r="F51" s="612"/>
      <c r="G51" s="613"/>
      <c r="H51" s="600"/>
    </row>
    <row r="52" spans="1:8" ht="25.5">
      <c r="A52" s="583">
        <v>9</v>
      </c>
      <c r="B52" s="584" t="s">
        <v>27</v>
      </c>
      <c r="C52" s="588">
        <f>192000-32541</f>
        <v>159459</v>
      </c>
      <c r="D52" s="1405" t="s">
        <v>721</v>
      </c>
      <c r="E52" s="1405"/>
      <c r="F52" s="612"/>
      <c r="G52" s="613"/>
      <c r="H52" s="600"/>
    </row>
    <row r="53" spans="1:8">
      <c r="A53" s="583">
        <v>10</v>
      </c>
      <c r="B53" s="584" t="s">
        <v>249</v>
      </c>
      <c r="C53" s="588">
        <f>SUM(C44+C48+C52)</f>
        <v>2304884</v>
      </c>
      <c r="D53" s="616" t="s">
        <v>721</v>
      </c>
      <c r="E53" s="622"/>
      <c r="F53" s="622"/>
      <c r="G53" s="613"/>
      <c r="H53" s="600"/>
    </row>
    <row r="54" spans="1:8">
      <c r="A54" s="583"/>
      <c r="B54" s="584"/>
      <c r="C54" s="587"/>
      <c r="D54" s="1309"/>
      <c r="E54" s="1310"/>
      <c r="F54" s="622"/>
      <c r="G54" s="613"/>
      <c r="H54" s="600"/>
    </row>
    <row r="55" spans="1:8">
      <c r="A55" s="623"/>
      <c r="B55" s="620" t="s">
        <v>250</v>
      </c>
      <c r="C55" s="624"/>
      <c r="D55" s="1407"/>
      <c r="E55" s="1405"/>
      <c r="F55" s="612"/>
      <c r="G55" s="613"/>
      <c r="H55" s="600"/>
    </row>
    <row r="56" spans="1:8" ht="25.5">
      <c r="A56" s="625">
        <v>11</v>
      </c>
      <c r="B56" s="626" t="s">
        <v>251</v>
      </c>
      <c r="C56" s="627">
        <f>SUM(C57:C59)</f>
        <v>146738.64000000001</v>
      </c>
      <c r="D56" s="1405" t="s">
        <v>721</v>
      </c>
      <c r="E56" s="1405"/>
      <c r="F56" s="612"/>
      <c r="G56" s="613"/>
      <c r="H56" s="600"/>
    </row>
    <row r="57" spans="1:8">
      <c r="A57" s="628" t="s">
        <v>30</v>
      </c>
      <c r="B57" s="629" t="s">
        <v>28</v>
      </c>
      <c r="C57" s="587">
        <v>76199.64</v>
      </c>
      <c r="D57" s="1405" t="s">
        <v>721</v>
      </c>
      <c r="E57" s="1405"/>
      <c r="F57" s="612"/>
      <c r="G57" s="613"/>
      <c r="H57" s="600"/>
    </row>
    <row r="58" spans="1:8">
      <c r="A58" s="628" t="s">
        <v>32</v>
      </c>
      <c r="B58" s="629" t="s">
        <v>363</v>
      </c>
      <c r="C58" s="587">
        <v>539</v>
      </c>
      <c r="D58" s="1405" t="s">
        <v>721</v>
      </c>
      <c r="E58" s="1405"/>
      <c r="F58" s="612"/>
      <c r="G58" s="613"/>
      <c r="H58" s="600"/>
    </row>
    <row r="59" spans="1:8">
      <c r="A59" s="628" t="s">
        <v>34</v>
      </c>
      <c r="B59" s="629" t="s">
        <v>29</v>
      </c>
      <c r="C59" s="587">
        <v>70000</v>
      </c>
      <c r="D59" s="1405" t="s">
        <v>721</v>
      </c>
      <c r="E59" s="1405"/>
      <c r="F59" s="612"/>
      <c r="G59" s="613"/>
      <c r="H59" s="600"/>
    </row>
    <row r="60" spans="1:8" ht="38.25">
      <c r="A60" s="625">
        <v>12</v>
      </c>
      <c r="B60" s="626" t="s">
        <v>252</v>
      </c>
      <c r="C60" s="589">
        <f>SUM(C61+C62+C64+C65+C66)</f>
        <v>506426.82</v>
      </c>
      <c r="D60" s="1405" t="s">
        <v>721</v>
      </c>
      <c r="E60" s="1405"/>
      <c r="F60" s="612"/>
      <c r="G60" s="613"/>
      <c r="H60" s="600"/>
    </row>
    <row r="61" spans="1:8">
      <c r="A61" s="628" t="s">
        <v>36</v>
      </c>
      <c r="B61" s="629" t="s">
        <v>31</v>
      </c>
      <c r="C61" s="587">
        <v>30677.74</v>
      </c>
      <c r="D61" s="1405" t="s">
        <v>721</v>
      </c>
      <c r="E61" s="1405"/>
      <c r="F61" s="612"/>
      <c r="G61" s="613"/>
      <c r="H61" s="600"/>
    </row>
    <row r="62" spans="1:8">
      <c r="A62" s="628" t="s">
        <v>38</v>
      </c>
      <c r="B62" s="629" t="s">
        <v>206</v>
      </c>
      <c r="C62" s="587">
        <v>439015.65</v>
      </c>
      <c r="D62" s="1405" t="s">
        <v>721</v>
      </c>
      <c r="E62" s="1405"/>
      <c r="F62" s="612"/>
      <c r="G62" s="613"/>
      <c r="H62" s="600"/>
    </row>
    <row r="63" spans="1:8">
      <c r="A63" s="628" t="s">
        <v>253</v>
      </c>
      <c r="B63" s="629" t="s">
        <v>33</v>
      </c>
      <c r="C63" s="587">
        <v>439015.65</v>
      </c>
      <c r="D63" s="1405" t="s">
        <v>721</v>
      </c>
      <c r="E63" s="1405"/>
      <c r="F63" s="612"/>
      <c r="G63" s="613"/>
      <c r="H63" s="600"/>
    </row>
    <row r="64" spans="1:8">
      <c r="A64" s="628" t="s">
        <v>39</v>
      </c>
      <c r="B64" s="629" t="s">
        <v>35</v>
      </c>
      <c r="C64" s="587">
        <v>6674.68</v>
      </c>
      <c r="D64" s="1405" t="s">
        <v>721</v>
      </c>
      <c r="E64" s="1405"/>
      <c r="F64" s="612"/>
      <c r="G64" s="613"/>
      <c r="H64" s="600"/>
    </row>
    <row r="65" spans="1:8">
      <c r="A65" s="630" t="s">
        <v>254</v>
      </c>
      <c r="B65" s="629" t="s">
        <v>153</v>
      </c>
      <c r="C65" s="587">
        <v>29883.75</v>
      </c>
      <c r="D65" s="1405" t="s">
        <v>721</v>
      </c>
      <c r="E65" s="1405"/>
      <c r="F65" s="612"/>
      <c r="G65" s="613"/>
      <c r="H65" s="600"/>
    </row>
    <row r="66" spans="1:8">
      <c r="A66" s="630" t="s">
        <v>255</v>
      </c>
      <c r="B66" s="631" t="s">
        <v>216</v>
      </c>
      <c r="C66" s="587">
        <v>175</v>
      </c>
      <c r="D66" s="1405" t="s">
        <v>721</v>
      </c>
      <c r="E66" s="1405"/>
      <c r="F66" s="612"/>
      <c r="G66" s="613"/>
      <c r="H66" s="600"/>
    </row>
    <row r="67" spans="1:8">
      <c r="A67" s="625">
        <v>13</v>
      </c>
      <c r="B67" s="632" t="s">
        <v>256</v>
      </c>
      <c r="C67" s="589">
        <f>SUM(C68:C69)</f>
        <v>15839.67</v>
      </c>
      <c r="D67" s="1405" t="s">
        <v>721</v>
      </c>
      <c r="E67" s="1405"/>
      <c r="F67" s="612"/>
      <c r="G67" s="613"/>
      <c r="H67" s="600"/>
    </row>
    <row r="68" spans="1:8">
      <c r="A68" s="628" t="s">
        <v>156</v>
      </c>
      <c r="B68" s="631" t="s">
        <v>40</v>
      </c>
      <c r="C68" s="587">
        <v>127.52</v>
      </c>
      <c r="D68" s="1405" t="s">
        <v>721</v>
      </c>
      <c r="E68" s="1405"/>
      <c r="F68" s="612"/>
      <c r="G68" s="613"/>
      <c r="H68" s="600"/>
    </row>
    <row r="69" spans="1:8">
      <c r="A69" s="628" t="s">
        <v>157</v>
      </c>
      <c r="B69" s="631" t="s">
        <v>41</v>
      </c>
      <c r="C69" s="587">
        <v>15712.15</v>
      </c>
      <c r="D69" s="1405" t="s">
        <v>721</v>
      </c>
      <c r="E69" s="1405"/>
      <c r="F69" s="612"/>
      <c r="G69" s="613"/>
      <c r="H69" s="600"/>
    </row>
    <row r="70" spans="1:8">
      <c r="A70" s="623">
        <v>14</v>
      </c>
      <c r="B70" s="610" t="s">
        <v>257</v>
      </c>
      <c r="C70" s="589">
        <v>3759</v>
      </c>
      <c r="D70" s="1405" t="s">
        <v>721</v>
      </c>
      <c r="E70" s="1405"/>
      <c r="F70" s="612"/>
      <c r="G70" s="613"/>
      <c r="H70" s="600"/>
    </row>
    <row r="71" spans="1:8">
      <c r="A71" s="633" t="s">
        <v>42</v>
      </c>
      <c r="B71" s="634" t="s">
        <v>155</v>
      </c>
      <c r="C71" s="587">
        <v>0</v>
      </c>
      <c r="D71" s="1407" t="s">
        <v>721</v>
      </c>
      <c r="E71" s="1407"/>
      <c r="F71" s="609"/>
      <c r="G71" s="613"/>
      <c r="H71" s="600"/>
    </row>
    <row r="72" spans="1:8">
      <c r="A72" s="633" t="s">
        <v>43</v>
      </c>
      <c r="B72" s="635" t="s">
        <v>258</v>
      </c>
      <c r="C72" s="587">
        <v>0</v>
      </c>
      <c r="D72" s="609" t="s">
        <v>721</v>
      </c>
      <c r="E72" s="609"/>
      <c r="F72" s="609"/>
      <c r="G72" s="613"/>
      <c r="H72" s="600"/>
    </row>
    <row r="73" spans="1:8">
      <c r="A73" s="633" t="s">
        <v>45</v>
      </c>
      <c r="B73" s="636" t="s">
        <v>44</v>
      </c>
      <c r="C73" s="587">
        <v>0</v>
      </c>
      <c r="D73" s="1405" t="s">
        <v>721</v>
      </c>
      <c r="E73" s="1405"/>
      <c r="F73" s="612"/>
      <c r="G73" s="613"/>
      <c r="H73" s="600"/>
    </row>
    <row r="74" spans="1:8">
      <c r="A74" s="633" t="s">
        <v>154</v>
      </c>
      <c r="B74" s="636" t="s">
        <v>46</v>
      </c>
      <c r="C74" s="587">
        <v>0</v>
      </c>
      <c r="D74" s="1405" t="s">
        <v>721</v>
      </c>
      <c r="E74" s="1405"/>
      <c r="F74" s="612"/>
      <c r="G74" s="613"/>
      <c r="H74" s="600"/>
    </row>
    <row r="75" spans="1:8">
      <c r="A75" s="637" t="s">
        <v>259</v>
      </c>
      <c r="B75" s="636" t="s">
        <v>104</v>
      </c>
      <c r="C75" s="587">
        <v>3759</v>
      </c>
      <c r="D75" s="1405" t="s">
        <v>722</v>
      </c>
      <c r="E75" s="1405"/>
      <c r="F75" s="612"/>
      <c r="G75" s="613"/>
      <c r="H75" s="600"/>
    </row>
    <row r="76" spans="1:8">
      <c r="A76" s="638">
        <v>15</v>
      </c>
      <c r="B76" s="610" t="s">
        <v>260</v>
      </c>
      <c r="C76" s="590">
        <f>SUM(C56+C60+C67+C70)</f>
        <v>672764.13</v>
      </c>
      <c r="D76" s="612" t="s">
        <v>721</v>
      </c>
      <c r="E76" s="612"/>
      <c r="F76" s="612"/>
      <c r="G76" s="613"/>
      <c r="H76" s="600"/>
    </row>
    <row r="77" spans="1:8">
      <c r="A77" s="637"/>
      <c r="B77" s="610"/>
      <c r="C77" s="590"/>
      <c r="D77" s="612"/>
      <c r="E77" s="612"/>
      <c r="F77" s="612"/>
      <c r="G77" s="613"/>
      <c r="H77" s="600"/>
    </row>
    <row r="78" spans="1:8">
      <c r="A78" s="637"/>
      <c r="B78" s="639" t="s">
        <v>261</v>
      </c>
      <c r="C78" s="587"/>
      <c r="D78" s="1405"/>
      <c r="E78" s="1405"/>
      <c r="F78" s="612"/>
      <c r="G78" s="613"/>
      <c r="H78" s="600"/>
    </row>
    <row r="79" spans="1:8">
      <c r="A79" s="637"/>
      <c r="C79" s="587"/>
      <c r="D79" s="612"/>
      <c r="E79" s="612"/>
      <c r="F79" s="612"/>
      <c r="G79" s="613"/>
      <c r="H79" s="600"/>
    </row>
    <row r="80" spans="1:8">
      <c r="A80" s="623">
        <v>16</v>
      </c>
      <c r="B80" s="640" t="s">
        <v>262</v>
      </c>
      <c r="C80" s="591">
        <f>SUM(C81:C85)</f>
        <v>28400</v>
      </c>
      <c r="D80" s="612" t="s">
        <v>721</v>
      </c>
      <c r="E80" s="612"/>
      <c r="F80" s="612"/>
      <c r="G80" s="613"/>
      <c r="H80" s="600"/>
    </row>
    <row r="81" spans="1:8" ht="35.25" customHeight="1">
      <c r="A81" s="637" t="s">
        <v>263</v>
      </c>
      <c r="B81" s="641" t="s">
        <v>264</v>
      </c>
      <c r="C81" s="587">
        <v>24400</v>
      </c>
      <c r="D81" s="612" t="s">
        <v>721</v>
      </c>
      <c r="E81" s="612"/>
      <c r="F81" s="612"/>
      <c r="G81" s="613"/>
      <c r="H81" s="600"/>
    </row>
    <row r="82" spans="1:8" ht="25.5">
      <c r="A82" s="637" t="s">
        <v>192</v>
      </c>
      <c r="B82" s="641" t="s">
        <v>207</v>
      </c>
      <c r="C82" s="587">
        <v>4000</v>
      </c>
      <c r="D82" s="612" t="s">
        <v>721</v>
      </c>
      <c r="E82" s="612"/>
      <c r="F82" s="612"/>
      <c r="G82" s="613"/>
      <c r="H82" s="600"/>
    </row>
    <row r="83" spans="1:8">
      <c r="A83" s="637" t="s">
        <v>193</v>
      </c>
      <c r="B83" s="613" t="s">
        <v>158</v>
      </c>
      <c r="C83" s="587">
        <v>0</v>
      </c>
      <c r="D83" s="612" t="s">
        <v>721</v>
      </c>
      <c r="E83" s="612"/>
      <c r="F83" s="612"/>
      <c r="G83" s="613"/>
      <c r="H83" s="600"/>
    </row>
    <row r="84" spans="1:8">
      <c r="A84" s="637" t="s">
        <v>265</v>
      </c>
      <c r="B84" s="613" t="s">
        <v>159</v>
      </c>
      <c r="C84" s="587">
        <v>0</v>
      </c>
      <c r="D84" s="612" t="s">
        <v>721</v>
      </c>
      <c r="E84" s="612"/>
      <c r="F84" s="612"/>
      <c r="G84" s="613"/>
      <c r="H84" s="600"/>
    </row>
    <row r="85" spans="1:8">
      <c r="A85" s="637" t="s">
        <v>266</v>
      </c>
      <c r="B85" s="613" t="s">
        <v>160</v>
      </c>
      <c r="C85" s="587">
        <v>0</v>
      </c>
      <c r="D85" s="612" t="s">
        <v>721</v>
      </c>
      <c r="E85" s="612"/>
      <c r="F85" s="612"/>
      <c r="G85" s="613"/>
      <c r="H85" s="600"/>
    </row>
    <row r="86" spans="1:8">
      <c r="A86" s="638">
        <v>17</v>
      </c>
      <c r="B86" s="639" t="s">
        <v>191</v>
      </c>
      <c r="C86" s="591"/>
      <c r="D86" s="1405" t="s">
        <v>721</v>
      </c>
      <c r="E86" s="1405"/>
      <c r="F86" s="612"/>
      <c r="G86" s="610"/>
      <c r="H86" s="611"/>
    </row>
    <row r="87" spans="1:8">
      <c r="A87" s="638">
        <v>18</v>
      </c>
      <c r="B87" s="610" t="s">
        <v>267</v>
      </c>
      <c r="C87" s="589">
        <f>SUM(C88:C90)</f>
        <v>4900</v>
      </c>
      <c r="D87" s="1405" t="s">
        <v>721</v>
      </c>
      <c r="E87" s="1405"/>
      <c r="F87" s="612"/>
      <c r="G87" s="613"/>
      <c r="H87" s="600"/>
    </row>
    <row r="88" spans="1:8">
      <c r="A88" s="633" t="s">
        <v>268</v>
      </c>
      <c r="B88" s="642" t="s">
        <v>47</v>
      </c>
      <c r="C88" s="587">
        <v>3450</v>
      </c>
      <c r="D88" s="1405" t="s">
        <v>721</v>
      </c>
      <c r="E88" s="1405"/>
      <c r="F88" s="612"/>
      <c r="G88" s="613"/>
      <c r="H88" s="600"/>
    </row>
    <row r="89" spans="1:8">
      <c r="A89" s="633" t="s">
        <v>269</v>
      </c>
      <c r="B89" s="642" t="s">
        <v>48</v>
      </c>
      <c r="C89" s="587">
        <v>250</v>
      </c>
      <c r="D89" s="1405" t="s">
        <v>721</v>
      </c>
      <c r="E89" s="1405"/>
      <c r="F89" s="612"/>
      <c r="G89" s="613"/>
      <c r="H89" s="600"/>
    </row>
    <row r="90" spans="1:8">
      <c r="A90" s="633" t="s">
        <v>270</v>
      </c>
      <c r="B90" s="642" t="s">
        <v>105</v>
      </c>
      <c r="C90" s="624">
        <v>1200</v>
      </c>
      <c r="D90" s="1405" t="s">
        <v>721</v>
      </c>
      <c r="E90" s="1405"/>
      <c r="F90" s="612"/>
      <c r="G90" s="613"/>
      <c r="H90" s="600"/>
    </row>
    <row r="91" spans="1:8">
      <c r="A91" s="638">
        <v>19</v>
      </c>
      <c r="B91" s="613" t="s">
        <v>205</v>
      </c>
      <c r="C91" s="624">
        <v>12000</v>
      </c>
      <c r="D91" s="1405" t="s">
        <v>721</v>
      </c>
      <c r="E91" s="1405"/>
      <c r="F91" s="612"/>
      <c r="G91" s="613"/>
      <c r="H91" s="600"/>
    </row>
    <row r="92" spans="1:8" ht="38.25">
      <c r="A92" s="638">
        <v>20</v>
      </c>
      <c r="B92" s="641" t="s">
        <v>106</v>
      </c>
      <c r="C92" s="624">
        <v>35420</v>
      </c>
      <c r="D92" s="1405" t="s">
        <v>721</v>
      </c>
      <c r="E92" s="1405"/>
      <c r="F92" s="612"/>
      <c r="G92" s="613"/>
      <c r="H92" s="600"/>
    </row>
    <row r="93" spans="1:8">
      <c r="A93" s="638">
        <v>21</v>
      </c>
      <c r="B93" s="613" t="s">
        <v>103</v>
      </c>
      <c r="C93" s="624">
        <v>112866</v>
      </c>
      <c r="D93" s="1405" t="s">
        <v>721</v>
      </c>
      <c r="E93" s="1405"/>
      <c r="F93" s="612"/>
      <c r="G93" s="613"/>
      <c r="H93" s="600"/>
    </row>
    <row r="94" spans="1:8" ht="25.5">
      <c r="A94" s="638">
        <v>22</v>
      </c>
      <c r="B94" s="641" t="s">
        <v>107</v>
      </c>
      <c r="C94" s="643">
        <v>112766</v>
      </c>
      <c r="D94" s="1405" t="s">
        <v>919</v>
      </c>
      <c r="E94" s="1405"/>
      <c r="F94" s="644"/>
      <c r="G94" s="645"/>
      <c r="H94" s="608"/>
    </row>
    <row r="95" spans="1:8" ht="25.5">
      <c r="A95" s="638">
        <v>23</v>
      </c>
      <c r="B95" s="641" t="s">
        <v>271</v>
      </c>
      <c r="C95" s="646">
        <f>SUM(C53,C76,C80,C86,C87,C91,C92,C93,C94)</f>
        <v>3284000.13</v>
      </c>
      <c r="D95" s="1405" t="s">
        <v>721</v>
      </c>
      <c r="E95" s="1405"/>
      <c r="F95" s="612"/>
      <c r="G95" s="613"/>
      <c r="H95" s="600"/>
    </row>
    <row r="96" spans="1:8">
      <c r="A96" s="637" t="s">
        <v>108</v>
      </c>
      <c r="B96" s="642" t="s">
        <v>49</v>
      </c>
      <c r="C96" s="624"/>
      <c r="D96" s="1405" t="s">
        <v>721</v>
      </c>
      <c r="E96" s="1405"/>
      <c r="F96" s="612"/>
      <c r="G96" s="613"/>
      <c r="H96" s="600"/>
    </row>
    <row r="97" spans="1:8" ht="15">
      <c r="A97" s="638">
        <v>24</v>
      </c>
      <c r="B97" s="613" t="s">
        <v>272</v>
      </c>
      <c r="C97" s="647">
        <f>SUM(C95,C96)</f>
        <v>3284000.13</v>
      </c>
      <c r="D97" s="1405"/>
      <c r="E97" s="1405"/>
      <c r="F97" s="612"/>
      <c r="G97" s="613"/>
      <c r="H97" s="600"/>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4400</v>
      </c>
      <c r="D103" s="51">
        <v>1355</v>
      </c>
      <c r="E103" s="34">
        <v>577031</v>
      </c>
      <c r="F103" s="34"/>
      <c r="G103" s="10"/>
      <c r="H103" s="3"/>
    </row>
    <row r="104" spans="1:8">
      <c r="A104" s="25" t="s">
        <v>91</v>
      </c>
      <c r="B104" s="13" t="s">
        <v>53</v>
      </c>
      <c r="C104" s="51">
        <f>SUM(C105:C106)</f>
        <v>3026</v>
      </c>
      <c r="D104" s="51">
        <f>SUM(D105:D106)</f>
        <v>0</v>
      </c>
      <c r="E104" s="34">
        <v>470959</v>
      </c>
      <c r="F104" s="34"/>
      <c r="G104" s="10"/>
      <c r="H104" s="3"/>
    </row>
    <row r="105" spans="1:8">
      <c r="A105" s="25" t="s">
        <v>194</v>
      </c>
      <c r="B105" s="35" t="s">
        <v>54</v>
      </c>
      <c r="C105" s="34">
        <v>2604</v>
      </c>
      <c r="D105" s="25"/>
      <c r="E105" s="34" t="s">
        <v>201</v>
      </c>
      <c r="F105" s="34"/>
      <c r="G105" s="10"/>
      <c r="H105" s="3"/>
    </row>
    <row r="106" spans="1:8">
      <c r="A106" s="25" t="s">
        <v>195</v>
      </c>
      <c r="B106" s="35" t="s">
        <v>55</v>
      </c>
      <c r="C106" s="34">
        <v>422</v>
      </c>
      <c r="D106" s="25"/>
      <c r="E106" s="34" t="s">
        <v>201</v>
      </c>
      <c r="F106" s="34"/>
      <c r="G106" s="10"/>
      <c r="H106" s="3"/>
    </row>
    <row r="107" spans="1:8">
      <c r="A107" s="25" t="s">
        <v>93</v>
      </c>
      <c r="B107" s="13" t="s">
        <v>56</v>
      </c>
      <c r="C107" s="34">
        <v>1330</v>
      </c>
      <c r="D107" s="34"/>
      <c r="E107" s="34">
        <v>94041</v>
      </c>
      <c r="F107" s="34"/>
      <c r="G107" s="10"/>
      <c r="H107" s="3"/>
    </row>
    <row r="108" spans="1:8">
      <c r="A108" s="25" t="s">
        <v>275</v>
      </c>
      <c r="B108" s="13" t="s">
        <v>57</v>
      </c>
      <c r="C108" s="34">
        <v>44</v>
      </c>
      <c r="D108" s="34"/>
      <c r="E108" s="34">
        <v>12360</v>
      </c>
      <c r="F108" s="34"/>
      <c r="G108" s="10"/>
      <c r="H108" s="3"/>
    </row>
    <row r="109" spans="1:8">
      <c r="A109" s="25" t="s">
        <v>276</v>
      </c>
      <c r="B109" s="13" t="s">
        <v>58</v>
      </c>
      <c r="C109" s="34">
        <v>0</v>
      </c>
      <c r="D109" s="34"/>
      <c r="E109" s="34">
        <v>0</v>
      </c>
      <c r="F109" s="34"/>
      <c r="G109" s="10"/>
      <c r="H109" s="3"/>
    </row>
    <row r="110" spans="1:8">
      <c r="A110" s="27" t="s">
        <v>277</v>
      </c>
      <c r="B110" s="13" t="s">
        <v>139</v>
      </c>
      <c r="C110" s="52">
        <v>0</v>
      </c>
      <c r="D110" s="51"/>
      <c r="E110" s="34">
        <v>0</v>
      </c>
      <c r="F110" s="34"/>
      <c r="G110" s="10"/>
      <c r="H110" s="3"/>
    </row>
    <row r="111" spans="1:8">
      <c r="A111" s="30">
        <v>26</v>
      </c>
      <c r="B111" s="18" t="s">
        <v>278</v>
      </c>
      <c r="C111" s="34">
        <f>SUM(C112,C113)</f>
        <v>5671</v>
      </c>
      <c r="D111" s="34">
        <v>1362</v>
      </c>
      <c r="E111" s="34">
        <v>441550</v>
      </c>
      <c r="F111" s="34"/>
      <c r="G111" s="10"/>
      <c r="H111" s="3"/>
    </row>
    <row r="112" spans="1:8">
      <c r="A112" s="25" t="s">
        <v>92</v>
      </c>
      <c r="B112" s="13" t="s">
        <v>59</v>
      </c>
      <c r="C112" s="34">
        <v>5671</v>
      </c>
      <c r="D112" s="34"/>
      <c r="E112" s="34">
        <v>23623</v>
      </c>
      <c r="F112" s="34"/>
      <c r="G112" s="10"/>
      <c r="H112" s="3"/>
    </row>
    <row r="113" spans="1:8">
      <c r="A113" s="27" t="s">
        <v>94</v>
      </c>
      <c r="B113" s="13" t="s">
        <v>164</v>
      </c>
      <c r="C113" s="34">
        <v>0</v>
      </c>
      <c r="D113" s="34"/>
      <c r="E113" s="34">
        <v>0</v>
      </c>
      <c r="F113" s="34"/>
      <c r="G113" s="10"/>
      <c r="H113" s="3"/>
    </row>
    <row r="114" spans="1:8">
      <c r="A114" s="25"/>
      <c r="B114" s="13"/>
      <c r="C114" s="34"/>
      <c r="D114" s="34"/>
      <c r="E114" s="34"/>
      <c r="F114" s="34"/>
      <c r="G114" s="10"/>
      <c r="H114" s="3"/>
    </row>
    <row r="115" spans="1:8" ht="38.25">
      <c r="A115" s="36">
        <v>27</v>
      </c>
      <c r="B115" s="33" t="s">
        <v>279</v>
      </c>
      <c r="C115" s="51">
        <f>SUM(C116+C119)</f>
        <v>4</v>
      </c>
      <c r="D115" s="51">
        <f>SUM(D116+D119)</f>
        <v>0</v>
      </c>
      <c r="E115" s="34"/>
      <c r="F115" s="34"/>
      <c r="G115" s="10"/>
      <c r="H115" s="3"/>
    </row>
    <row r="116" spans="1:8" ht="25.5">
      <c r="A116" s="30" t="s">
        <v>196</v>
      </c>
      <c r="B116" s="126" t="s">
        <v>280</v>
      </c>
      <c r="C116" s="52">
        <f>SUM(C117,C118)</f>
        <v>4</v>
      </c>
      <c r="D116" s="52">
        <f>SUM(D117:D118)</f>
        <v>0</v>
      </c>
      <c r="E116" s="25"/>
      <c r="F116" s="25"/>
      <c r="G116" s="10"/>
      <c r="H116" s="3"/>
    </row>
    <row r="117" spans="1:8">
      <c r="A117" s="25" t="s">
        <v>281</v>
      </c>
      <c r="B117" s="35" t="s">
        <v>124</v>
      </c>
      <c r="C117" s="25">
        <v>0</v>
      </c>
      <c r="D117" s="25"/>
      <c r="E117" s="25">
        <v>765</v>
      </c>
      <c r="F117" s="25"/>
      <c r="G117" s="10"/>
      <c r="H117" s="3"/>
    </row>
    <row r="118" spans="1:8">
      <c r="A118" s="25" t="s">
        <v>282</v>
      </c>
      <c r="B118" s="35" t="s">
        <v>125</v>
      </c>
      <c r="C118" s="25">
        <v>4</v>
      </c>
      <c r="D118" s="25"/>
      <c r="E118" s="25">
        <v>32357</v>
      </c>
      <c r="F118" s="25"/>
      <c r="G118" s="10"/>
      <c r="H118" s="3"/>
    </row>
    <row r="119" spans="1:8" ht="25.5">
      <c r="A119" s="30" t="s">
        <v>283</v>
      </c>
      <c r="B119" s="126" t="s">
        <v>284</v>
      </c>
      <c r="C119" s="52">
        <f>SUM(C120:C122)</f>
        <v>0</v>
      </c>
      <c r="D119" s="52">
        <f>SUM(D120:D122)</f>
        <v>0</v>
      </c>
      <c r="E119" s="25">
        <v>124</v>
      </c>
      <c r="F119" s="25"/>
      <c r="G119" s="10"/>
      <c r="H119" s="3"/>
    </row>
    <row r="120" spans="1:8">
      <c r="A120" s="25" t="s">
        <v>285</v>
      </c>
      <c r="B120" s="35" t="s">
        <v>126</v>
      </c>
      <c r="C120" s="25">
        <v>0</v>
      </c>
      <c r="D120" s="25"/>
      <c r="E120" s="25">
        <v>124</v>
      </c>
      <c r="F120" s="25"/>
      <c r="G120" s="10"/>
      <c r="H120" s="3"/>
    </row>
    <row r="121" spans="1:8">
      <c r="A121" s="27" t="s">
        <v>286</v>
      </c>
      <c r="B121" s="35" t="s">
        <v>287</v>
      </c>
      <c r="C121" s="25">
        <v>0</v>
      </c>
      <c r="D121" s="25"/>
      <c r="E121" s="25"/>
      <c r="F121" s="25"/>
      <c r="G121" s="10"/>
      <c r="H121" s="3"/>
    </row>
    <row r="122" spans="1:8">
      <c r="A122" s="25" t="s">
        <v>288</v>
      </c>
      <c r="B122" s="35" t="s">
        <v>218</v>
      </c>
      <c r="C122" s="25">
        <v>0</v>
      </c>
      <c r="D122" s="25"/>
      <c r="E122" s="25"/>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1472</v>
      </c>
      <c r="D125" s="52">
        <f>SUM(D126:D127)</f>
        <v>0</v>
      </c>
      <c r="E125" s="25">
        <v>38727</v>
      </c>
      <c r="F125" s="25"/>
      <c r="G125" s="10"/>
      <c r="H125" s="3"/>
    </row>
    <row r="126" spans="1:8">
      <c r="A126" s="25" t="s">
        <v>127</v>
      </c>
      <c r="B126" s="24" t="s">
        <v>40</v>
      </c>
      <c r="C126" s="25">
        <v>1002</v>
      </c>
      <c r="D126" s="25"/>
      <c r="E126" s="25">
        <v>26133</v>
      </c>
      <c r="F126" s="25"/>
      <c r="G126" s="10"/>
      <c r="H126" s="3"/>
    </row>
    <row r="127" spans="1:8">
      <c r="A127" s="25" t="s">
        <v>129</v>
      </c>
      <c r="B127" s="24" t="s">
        <v>41</v>
      </c>
      <c r="C127" s="25">
        <v>470</v>
      </c>
      <c r="D127" s="25"/>
      <c r="E127" s="25">
        <v>12594</v>
      </c>
      <c r="F127" s="25"/>
      <c r="G127" s="10"/>
      <c r="H127" s="3"/>
    </row>
    <row r="128" spans="1:8">
      <c r="A128" s="25"/>
      <c r="C128" s="25"/>
      <c r="D128" s="25"/>
      <c r="E128" s="25"/>
      <c r="F128" s="25"/>
      <c r="G128" s="10"/>
      <c r="H128" s="3"/>
    </row>
    <row r="129" spans="1:8">
      <c r="A129" s="30">
        <v>29</v>
      </c>
      <c r="B129" s="6" t="s">
        <v>290</v>
      </c>
      <c r="C129" s="25"/>
      <c r="D129" s="25"/>
      <c r="E129" s="25"/>
      <c r="F129" s="25"/>
      <c r="G129" s="10"/>
      <c r="H129" s="3"/>
    </row>
    <row r="130" spans="1:8">
      <c r="A130" s="30" t="s">
        <v>165</v>
      </c>
      <c r="B130" s="6" t="s">
        <v>37</v>
      </c>
      <c r="C130" s="25">
        <v>13</v>
      </c>
      <c r="D130" s="25"/>
      <c r="E130" s="25">
        <v>1890</v>
      </c>
      <c r="F130" s="25"/>
      <c r="G130" s="10"/>
      <c r="H130" s="3"/>
    </row>
    <row r="131" spans="1:8">
      <c r="A131" s="30" t="s">
        <v>166</v>
      </c>
      <c r="B131" s="6" t="s">
        <v>79</v>
      </c>
      <c r="C131" s="25">
        <v>0</v>
      </c>
      <c r="D131" s="25"/>
      <c r="E131" s="25">
        <v>0</v>
      </c>
      <c r="F131" s="25"/>
      <c r="G131" s="10"/>
      <c r="H131" s="3"/>
    </row>
    <row r="132" spans="1:8">
      <c r="A132" s="30" t="s">
        <v>291</v>
      </c>
      <c r="B132" s="29" t="s">
        <v>222</v>
      </c>
      <c r="C132" s="30" t="s">
        <v>475</v>
      </c>
      <c r="D132" s="30"/>
      <c r="E132" s="30"/>
      <c r="F132" s="30"/>
      <c r="G132" s="6"/>
      <c r="H132" s="122"/>
    </row>
    <row r="133" spans="1:8">
      <c r="A133" s="30" t="s">
        <v>292</v>
      </c>
      <c r="B133" s="29" t="s">
        <v>293</v>
      </c>
      <c r="C133" s="30" t="s">
        <v>475</v>
      </c>
      <c r="D133" s="30"/>
      <c r="E133" s="30"/>
      <c r="F133" s="30"/>
      <c r="G133" s="6"/>
      <c r="H133" s="122"/>
    </row>
    <row r="134" spans="1:8">
      <c r="A134" s="30" t="s">
        <v>294</v>
      </c>
      <c r="B134" s="29" t="s">
        <v>223</v>
      </c>
      <c r="C134" s="30" t="s">
        <v>475</v>
      </c>
      <c r="D134" s="30"/>
      <c r="E134" s="30"/>
      <c r="F134" s="30"/>
      <c r="G134" s="6"/>
      <c r="H134" s="122"/>
    </row>
    <row r="135" spans="1:8">
      <c r="A135" s="30" t="s">
        <v>295</v>
      </c>
      <c r="B135" s="37" t="s">
        <v>224</v>
      </c>
      <c r="C135" s="30" t="s">
        <v>475</v>
      </c>
      <c r="D135" s="30"/>
      <c r="E135" s="30"/>
      <c r="F135" s="30"/>
      <c r="G135" s="6"/>
      <c r="H135" s="122"/>
    </row>
    <row r="136" spans="1:8">
      <c r="A136" s="30" t="s">
        <v>296</v>
      </c>
      <c r="B136" s="37" t="s">
        <v>225</v>
      </c>
      <c r="C136" s="30"/>
      <c r="D136" s="30"/>
      <c r="E136" s="30"/>
      <c r="F136" s="30"/>
      <c r="G136" s="6"/>
      <c r="H136" s="122"/>
    </row>
    <row r="137" spans="1:8">
      <c r="A137" s="25"/>
      <c r="B137" s="6" t="s">
        <v>297</v>
      </c>
      <c r="C137" s="25"/>
      <c r="D137" s="25"/>
      <c r="E137" s="25"/>
      <c r="F137" s="25"/>
      <c r="G137" s="10"/>
      <c r="H137" s="3"/>
    </row>
    <row r="138" spans="1:8">
      <c r="A138" s="38" t="s">
        <v>298</v>
      </c>
      <c r="B138" s="37" t="s">
        <v>197</v>
      </c>
      <c r="C138" s="30">
        <v>4</v>
      </c>
      <c r="D138" s="30"/>
      <c r="E138" s="30"/>
      <c r="F138" s="30"/>
      <c r="G138" s="6"/>
      <c r="H138" s="122"/>
    </row>
    <row r="139" spans="1:8">
      <c r="A139" s="38" t="s">
        <v>299</v>
      </c>
      <c r="B139" s="37" t="s">
        <v>198</v>
      </c>
      <c r="C139" s="30">
        <v>1066</v>
      </c>
      <c r="D139" s="30"/>
      <c r="E139" s="30"/>
      <c r="F139" s="30"/>
      <c r="G139" s="6"/>
      <c r="H139" s="122"/>
    </row>
    <row r="140" spans="1:8">
      <c r="A140" s="38" t="s">
        <v>300</v>
      </c>
      <c r="B140" s="37" t="s">
        <v>199</v>
      </c>
      <c r="C140" s="30">
        <v>23</v>
      </c>
      <c r="D140" s="30"/>
      <c r="E140" s="30"/>
      <c r="F140" s="30"/>
      <c r="G140" s="6"/>
      <c r="H140" s="122"/>
    </row>
    <row r="141" spans="1:8">
      <c r="A141" s="38" t="s">
        <v>301</v>
      </c>
      <c r="B141" s="37" t="s">
        <v>200</v>
      </c>
      <c r="C141" s="30">
        <v>43658</v>
      </c>
      <c r="D141" s="30" t="s">
        <v>201</v>
      </c>
      <c r="E141" s="30" t="s">
        <v>201</v>
      </c>
      <c r="F141" s="30"/>
      <c r="G141" s="6"/>
      <c r="H141" s="122"/>
    </row>
    <row r="142" spans="1:8">
      <c r="A142" s="30" t="s">
        <v>302</v>
      </c>
      <c r="B142" s="37" t="s">
        <v>220</v>
      </c>
      <c r="C142" s="30">
        <v>0</v>
      </c>
      <c r="D142" s="30"/>
      <c r="E142" s="30"/>
      <c r="F142" s="30"/>
      <c r="G142" s="6"/>
      <c r="H142" s="122"/>
    </row>
    <row r="143" spans="1:8">
      <c r="A143" s="30" t="s">
        <v>303</v>
      </c>
      <c r="B143" s="37" t="s">
        <v>221</v>
      </c>
      <c r="C143" s="30">
        <v>0</v>
      </c>
      <c r="D143" s="30"/>
      <c r="E143" s="30"/>
      <c r="F143" s="30"/>
      <c r="G143" s="6"/>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1493232</v>
      </c>
    </row>
    <row r="148" spans="1:9">
      <c r="A148" s="27" t="s">
        <v>169</v>
      </c>
      <c r="B148" s="10" t="s">
        <v>167</v>
      </c>
      <c r="C148" s="9">
        <v>869945</v>
      </c>
    </row>
    <row r="149" spans="1:9">
      <c r="A149" s="27" t="s">
        <v>171</v>
      </c>
      <c r="B149" s="10" t="s">
        <v>168</v>
      </c>
      <c r="C149" s="9">
        <v>623287</v>
      </c>
    </row>
    <row r="150" spans="1:9" ht="24.75">
      <c r="A150" s="38">
        <v>31</v>
      </c>
      <c r="B150" s="33" t="s">
        <v>305</v>
      </c>
      <c r="C150" s="9"/>
    </row>
    <row r="151" spans="1:9">
      <c r="A151" s="27" t="s">
        <v>137</v>
      </c>
      <c r="B151" s="10" t="s">
        <v>170</v>
      </c>
      <c r="C151" s="9">
        <v>333491</v>
      </c>
    </row>
    <row r="152" spans="1:9">
      <c r="A152" s="27" t="s">
        <v>138</v>
      </c>
      <c r="B152" s="10" t="s">
        <v>172</v>
      </c>
      <c r="C152" s="9">
        <v>552782</v>
      </c>
    </row>
    <row r="153" spans="1:9">
      <c r="A153" s="27"/>
      <c r="B153" s="10"/>
      <c r="C153" s="9"/>
    </row>
    <row r="154" spans="1:9">
      <c r="A154" s="30"/>
      <c r="B154" s="1201" t="s">
        <v>306</v>
      </c>
      <c r="C154" s="1202"/>
    </row>
    <row r="155" spans="1:9">
      <c r="A155" s="30">
        <v>32</v>
      </c>
      <c r="B155" s="26" t="s">
        <v>307</v>
      </c>
      <c r="C155" s="52">
        <v>216895</v>
      </c>
    </row>
    <row r="156" spans="1:9">
      <c r="A156" s="25" t="s">
        <v>308</v>
      </c>
      <c r="B156" s="28" t="s">
        <v>69</v>
      </c>
      <c r="C156" s="25">
        <v>177853</v>
      </c>
    </row>
    <row r="157" spans="1:9">
      <c r="A157" s="27" t="s">
        <v>309</v>
      </c>
      <c r="B157" s="28" t="s">
        <v>70</v>
      </c>
      <c r="C157" s="25">
        <v>39041</v>
      </c>
    </row>
    <row r="158" spans="1:9">
      <c r="A158" s="30">
        <v>33</v>
      </c>
      <c r="B158" s="41" t="s">
        <v>71</v>
      </c>
      <c r="C158" s="25">
        <v>19767</v>
      </c>
    </row>
    <row r="159" spans="1:9">
      <c r="A159" s="30">
        <v>34</v>
      </c>
      <c r="B159" s="26" t="s">
        <v>310</v>
      </c>
      <c r="C159" s="52">
        <v>5809</v>
      </c>
    </row>
    <row r="160" spans="1:9">
      <c r="A160" s="25" t="s">
        <v>173</v>
      </c>
      <c r="B160" s="28" t="s">
        <v>72</v>
      </c>
      <c r="C160" s="25">
        <v>5809</v>
      </c>
    </row>
    <row r="161" spans="1:7">
      <c r="A161" s="27" t="s">
        <v>175</v>
      </c>
      <c r="B161" s="28" t="s">
        <v>73</v>
      </c>
      <c r="C161" s="678" t="s">
        <v>475</v>
      </c>
    </row>
    <row r="162" spans="1:7">
      <c r="A162" s="27" t="s">
        <v>177</v>
      </c>
      <c r="B162" s="28" t="s">
        <v>214</v>
      </c>
      <c r="C162" s="678" t="s">
        <v>475</v>
      </c>
    </row>
    <row r="163" spans="1:7">
      <c r="A163" s="23">
        <v>35</v>
      </c>
      <c r="B163" s="26" t="s">
        <v>311</v>
      </c>
      <c r="C163" s="52">
        <v>26288</v>
      </c>
    </row>
    <row r="164" spans="1:7">
      <c r="A164" s="39" t="s">
        <v>312</v>
      </c>
      <c r="B164" s="41" t="s">
        <v>174</v>
      </c>
      <c r="C164" s="25">
        <v>26288</v>
      </c>
    </row>
    <row r="165" spans="1:7">
      <c r="A165" s="27" t="s">
        <v>313</v>
      </c>
      <c r="B165" s="41" t="s">
        <v>176</v>
      </c>
      <c r="C165" s="678" t="s">
        <v>475</v>
      </c>
    </row>
    <row r="166" spans="1:7">
      <c r="A166" s="27" t="s">
        <v>314</v>
      </c>
      <c r="B166" s="41" t="s">
        <v>178</v>
      </c>
      <c r="C166" s="678" t="s">
        <v>475</v>
      </c>
    </row>
    <row r="168" spans="1:7">
      <c r="A168" s="23"/>
      <c r="B168" s="129" t="s">
        <v>87</v>
      </c>
      <c r="C168" s="127"/>
      <c r="D168" s="127"/>
      <c r="E168" s="130"/>
      <c r="F168" s="131"/>
    </row>
    <row r="169" spans="1:7">
      <c r="A169" s="23">
        <v>36</v>
      </c>
      <c r="B169" s="132" t="s">
        <v>74</v>
      </c>
      <c r="C169" s="133">
        <v>4243</v>
      </c>
      <c r="D169" s="134"/>
      <c r="E169" s="46"/>
      <c r="F169" s="46"/>
      <c r="G169" s="135"/>
    </row>
    <row r="170" spans="1:7">
      <c r="A170" s="23">
        <v>37</v>
      </c>
      <c r="B170" s="41" t="s">
        <v>75</v>
      </c>
      <c r="C170" s="136">
        <v>1950</v>
      </c>
      <c r="D170" s="134"/>
      <c r="E170" s="46"/>
      <c r="F170" s="46"/>
      <c r="G170" s="135"/>
    </row>
    <row r="171" spans="1:7">
      <c r="A171" s="23">
        <v>38</v>
      </c>
      <c r="B171" s="26" t="s">
        <v>315</v>
      </c>
      <c r="C171" s="54">
        <f>SUM(C172:C174)</f>
        <v>6193</v>
      </c>
      <c r="D171" s="137"/>
      <c r="E171" s="138"/>
      <c r="F171" s="138"/>
      <c r="G171" s="138"/>
    </row>
    <row r="172" spans="1:7">
      <c r="A172" s="39" t="s">
        <v>118</v>
      </c>
      <c r="B172" s="28" t="s">
        <v>208</v>
      </c>
      <c r="C172" s="133">
        <v>2614</v>
      </c>
      <c r="D172" s="134"/>
      <c r="E172" s="46"/>
      <c r="F172" s="46"/>
      <c r="G172" s="135"/>
    </row>
    <row r="173" spans="1:7">
      <c r="A173" s="39" t="s">
        <v>119</v>
      </c>
      <c r="B173" s="28" t="s">
        <v>209</v>
      </c>
      <c r="C173" s="40">
        <v>403</v>
      </c>
      <c r="D173" s="134"/>
      <c r="E173" s="46"/>
      <c r="F173" s="46"/>
      <c r="G173" s="135"/>
    </row>
    <row r="174" spans="1:7">
      <c r="A174" s="27" t="s">
        <v>120</v>
      </c>
      <c r="B174" s="28" t="s">
        <v>210</v>
      </c>
      <c r="C174" s="40">
        <v>3176</v>
      </c>
      <c r="D174" s="134"/>
      <c r="E174" s="46"/>
      <c r="F174" s="46"/>
      <c r="G174" s="135"/>
    </row>
    <row r="175" spans="1:7">
      <c r="A175" s="23">
        <v>39</v>
      </c>
      <c r="B175" s="26" t="s">
        <v>316</v>
      </c>
      <c r="C175" s="54">
        <v>7031</v>
      </c>
      <c r="D175" s="134"/>
      <c r="E175" s="46"/>
      <c r="F175" s="46"/>
      <c r="G175" s="135"/>
    </row>
    <row r="176" spans="1:7">
      <c r="A176" s="39" t="s">
        <v>317</v>
      </c>
      <c r="B176" s="28" t="s">
        <v>76</v>
      </c>
      <c r="C176" s="40">
        <v>2200</v>
      </c>
      <c r="D176" s="134"/>
      <c r="E176" s="46"/>
      <c r="F176" s="46"/>
      <c r="G176" s="135"/>
    </row>
    <row r="177" spans="1:7">
      <c r="A177" s="39" t="s">
        <v>318</v>
      </c>
      <c r="B177" s="28" t="s">
        <v>77</v>
      </c>
      <c r="C177" s="40">
        <v>5</v>
      </c>
      <c r="D177" s="134"/>
      <c r="E177" s="46"/>
      <c r="F177" s="46"/>
      <c r="G177" s="135"/>
    </row>
    <row r="178" spans="1:7">
      <c r="A178" s="27" t="s">
        <v>319</v>
      </c>
      <c r="B178" s="28" t="s">
        <v>78</v>
      </c>
      <c r="C178" s="40">
        <v>4826</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393</v>
      </c>
      <c r="D181" s="134"/>
      <c r="E181" s="46"/>
      <c r="F181" s="46"/>
      <c r="G181" s="135"/>
    </row>
    <row r="182" spans="1:7">
      <c r="A182" s="23">
        <v>41</v>
      </c>
      <c r="B182" s="41" t="s">
        <v>75</v>
      </c>
      <c r="C182" s="40">
        <v>2304</v>
      </c>
      <c r="D182" s="134"/>
      <c r="E182" s="46"/>
      <c r="F182" s="46"/>
      <c r="G182" s="135"/>
    </row>
    <row r="183" spans="1:7">
      <c r="A183" s="23">
        <v>42</v>
      </c>
      <c r="B183" s="26" t="s">
        <v>320</v>
      </c>
      <c r="C183" s="54">
        <v>2697</v>
      </c>
      <c r="D183" s="134"/>
      <c r="E183" s="46"/>
      <c r="F183" s="46"/>
      <c r="G183" s="135"/>
    </row>
    <row r="184" spans="1:7">
      <c r="A184" s="39" t="s">
        <v>96</v>
      </c>
      <c r="B184" s="28" t="s">
        <v>211</v>
      </c>
      <c r="C184" s="136">
        <v>1241</v>
      </c>
      <c r="D184" s="134"/>
      <c r="E184" s="46"/>
      <c r="F184" s="46"/>
      <c r="G184" s="135"/>
    </row>
    <row r="185" spans="1:7">
      <c r="A185" s="39" t="s">
        <v>97</v>
      </c>
      <c r="B185" s="28" t="s">
        <v>212</v>
      </c>
      <c r="C185" s="40">
        <v>55</v>
      </c>
      <c r="D185" s="140"/>
      <c r="E185" s="141"/>
      <c r="F185" s="46"/>
      <c r="G185" s="135"/>
    </row>
    <row r="186" spans="1:7">
      <c r="A186" s="27" t="s">
        <v>98</v>
      </c>
      <c r="B186" s="28" t="s">
        <v>213</v>
      </c>
      <c r="C186" s="25">
        <v>1401</v>
      </c>
      <c r="D186" s="25"/>
      <c r="E186" s="25"/>
      <c r="F186" s="46"/>
    </row>
    <row r="187" spans="1:7">
      <c r="A187" s="23">
        <v>43</v>
      </c>
      <c r="B187" s="26" t="s">
        <v>321</v>
      </c>
      <c r="C187" s="54">
        <v>9057</v>
      </c>
      <c r="D187" s="25"/>
      <c r="E187" s="25"/>
      <c r="F187" s="46"/>
    </row>
    <row r="188" spans="1:7">
      <c r="A188" s="39" t="s">
        <v>100</v>
      </c>
      <c r="B188" s="28" t="s">
        <v>76</v>
      </c>
      <c r="C188" s="40">
        <v>3369</v>
      </c>
      <c r="D188" s="25"/>
      <c r="E188" s="25"/>
      <c r="F188" s="46"/>
    </row>
    <row r="189" spans="1:7">
      <c r="A189" s="39" t="s">
        <v>101</v>
      </c>
      <c r="B189" s="28" t="s">
        <v>77</v>
      </c>
      <c r="C189" s="40">
        <v>51</v>
      </c>
      <c r="D189" s="25"/>
      <c r="E189" s="25"/>
      <c r="F189" s="46"/>
    </row>
    <row r="190" spans="1:7">
      <c r="A190" s="25" t="s">
        <v>102</v>
      </c>
      <c r="B190" s="13" t="s">
        <v>78</v>
      </c>
      <c r="C190" s="40">
        <v>5637</v>
      </c>
      <c r="D190" s="25"/>
      <c r="E190" s="25"/>
      <c r="F190" s="46"/>
    </row>
    <row r="191" spans="1:7">
      <c r="D191" s="142"/>
      <c r="E191" s="143"/>
    </row>
    <row r="192" spans="1:7">
      <c r="A192" s="25"/>
      <c r="B192" s="6" t="s">
        <v>322</v>
      </c>
      <c r="C192" s="40" t="s">
        <v>90</v>
      </c>
      <c r="D192" s="1203" t="s">
        <v>81</v>
      </c>
      <c r="E192" s="1203"/>
      <c r="F192" s="131"/>
    </row>
    <row r="193" spans="1:10">
      <c r="A193" s="25"/>
      <c r="B193" s="10"/>
      <c r="C193" s="40"/>
      <c r="D193" s="43" t="s">
        <v>82</v>
      </c>
      <c r="E193" s="43" t="s">
        <v>83</v>
      </c>
      <c r="F193" s="144"/>
    </row>
    <row r="194" spans="1:10">
      <c r="A194" s="30">
        <v>44</v>
      </c>
      <c r="B194" s="6" t="s">
        <v>323</v>
      </c>
      <c r="C194" s="54">
        <v>275</v>
      </c>
      <c r="D194" s="52">
        <f>SUM(D195:D197)</f>
        <v>0</v>
      </c>
      <c r="E194" s="679">
        <v>2852</v>
      </c>
      <c r="F194" s="145"/>
    </row>
    <row r="195" spans="1:10">
      <c r="A195" s="25" t="s">
        <v>121</v>
      </c>
      <c r="B195" s="13" t="s">
        <v>181</v>
      </c>
      <c r="C195" s="40">
        <v>251</v>
      </c>
      <c r="D195" s="25"/>
      <c r="E195" s="25">
        <v>2852</v>
      </c>
      <c r="F195" s="46"/>
    </row>
    <row r="196" spans="1:10">
      <c r="A196" s="25" t="s">
        <v>122</v>
      </c>
      <c r="B196" s="13" t="s">
        <v>182</v>
      </c>
      <c r="C196" s="40"/>
      <c r="D196" s="25"/>
      <c r="E196" s="25"/>
      <c r="F196" s="46"/>
    </row>
    <row r="197" spans="1:10">
      <c r="A197" s="27" t="s">
        <v>123</v>
      </c>
      <c r="B197" s="13" t="s">
        <v>180</v>
      </c>
      <c r="C197" s="40">
        <v>24</v>
      </c>
      <c r="D197" s="25"/>
      <c r="E197" s="25"/>
      <c r="F197" s="46"/>
    </row>
    <row r="198" spans="1:10">
      <c r="A198" s="30">
        <v>45</v>
      </c>
      <c r="B198" s="6" t="s">
        <v>324</v>
      </c>
      <c r="C198" s="54">
        <f>SUM(C199:C201)</f>
        <v>8299</v>
      </c>
      <c r="D198" s="52">
        <f>SUM(D199:D201)</f>
        <v>0</v>
      </c>
      <c r="E198" s="679">
        <v>2852</v>
      </c>
      <c r="F198" s="145"/>
    </row>
    <row r="199" spans="1:10">
      <c r="A199" s="25" t="s">
        <v>325</v>
      </c>
      <c r="B199" s="13" t="s">
        <v>80</v>
      </c>
      <c r="C199" s="40">
        <v>4499</v>
      </c>
      <c r="D199" s="25"/>
      <c r="E199" s="25">
        <v>2852</v>
      </c>
      <c r="F199" s="46"/>
    </row>
    <row r="200" spans="1:10">
      <c r="A200" s="25" t="s">
        <v>326</v>
      </c>
      <c r="B200" s="13" t="s">
        <v>60</v>
      </c>
      <c r="C200" s="40"/>
      <c r="D200" s="25"/>
      <c r="E200" s="25"/>
      <c r="F200" s="46"/>
    </row>
    <row r="201" spans="1:10">
      <c r="A201" s="27" t="s">
        <v>327</v>
      </c>
      <c r="B201" s="13" t="s">
        <v>180</v>
      </c>
      <c r="C201" s="40">
        <v>3800</v>
      </c>
      <c r="D201" s="25"/>
      <c r="E201" s="25"/>
      <c r="F201" s="46"/>
    </row>
    <row r="202" spans="1:10">
      <c r="A202" s="44"/>
      <c r="B202" s="45"/>
      <c r="C202" s="46"/>
      <c r="D202" s="146"/>
      <c r="E202" s="147"/>
      <c r="F202" s="46"/>
    </row>
    <row r="203" spans="1:10">
      <c r="A203" s="30">
        <v>46</v>
      </c>
      <c r="B203" s="10" t="s">
        <v>203</v>
      </c>
      <c r="C203" s="40">
        <v>0</v>
      </c>
      <c r="D203" s="25"/>
      <c r="E203" s="25"/>
      <c r="F203" s="46"/>
    </row>
    <row r="204" spans="1:10">
      <c r="A204" s="30">
        <v>47</v>
      </c>
      <c r="B204" s="49" t="s">
        <v>204</v>
      </c>
      <c r="C204" s="40">
        <v>0</v>
      </c>
      <c r="D204" s="25"/>
      <c r="E204" s="25"/>
      <c r="F204" s="46"/>
    </row>
    <row r="205" spans="1:10">
      <c r="A205" s="30">
        <v>48</v>
      </c>
      <c r="B205" s="10" t="s">
        <v>179</v>
      </c>
      <c r="C205" s="40">
        <v>60</v>
      </c>
      <c r="D205" s="25"/>
      <c r="E205" s="25"/>
      <c r="F205" s="46"/>
    </row>
    <row r="206" spans="1:10">
      <c r="A206" s="30">
        <v>49</v>
      </c>
      <c r="B206" s="10" t="s">
        <v>61</v>
      </c>
      <c r="C206" s="40">
        <v>240</v>
      </c>
      <c r="D206" s="25"/>
      <c r="E206" s="25"/>
      <c r="F206" s="46"/>
      <c r="J206" t="s">
        <v>529</v>
      </c>
    </row>
    <row r="207" spans="1:10">
      <c r="A207" s="204">
        <v>50</v>
      </c>
      <c r="B207" s="48" t="s">
        <v>202</v>
      </c>
      <c r="C207" s="47">
        <v>20</v>
      </c>
      <c r="D207" s="149"/>
      <c r="E207" s="150"/>
      <c r="F207" s="47"/>
    </row>
    <row r="208" spans="1:10">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c r="D211" s="52"/>
      <c r="E211" s="9"/>
      <c r="F211" s="10"/>
    </row>
    <row r="212" spans="1:6" s="1" customFormat="1">
      <c r="A212" s="27" t="s">
        <v>329</v>
      </c>
      <c r="B212" s="13" t="s">
        <v>226</v>
      </c>
      <c r="C212" s="9"/>
      <c r="D212" s="9"/>
      <c r="E212" s="9">
        <v>148</v>
      </c>
      <c r="F212" s="10"/>
    </row>
    <row r="213" spans="1:6" s="1" customFormat="1">
      <c r="A213" s="27" t="s">
        <v>330</v>
      </c>
      <c r="B213" s="35" t="s">
        <v>128</v>
      </c>
      <c r="C213" s="9"/>
      <c r="D213" s="9"/>
      <c r="E213" s="9"/>
      <c r="F213" s="10"/>
    </row>
    <row r="214" spans="1:6" s="1" customFormat="1">
      <c r="A214" s="27" t="s">
        <v>331</v>
      </c>
      <c r="B214" s="13" t="s">
        <v>227</v>
      </c>
      <c r="C214" s="9"/>
      <c r="D214" s="9"/>
      <c r="E214" s="9">
        <v>45</v>
      </c>
      <c r="F214" s="10"/>
    </row>
    <row r="215" spans="1:6" s="1" customFormat="1">
      <c r="A215" s="27" t="s">
        <v>332</v>
      </c>
      <c r="B215" s="35" t="s">
        <v>130</v>
      </c>
      <c r="C215" s="9"/>
      <c r="D215" s="9"/>
      <c r="E215" s="9"/>
      <c r="F215" s="10"/>
    </row>
    <row r="216" spans="1:6" s="1" customFormat="1">
      <c r="A216" s="27" t="s">
        <v>333</v>
      </c>
      <c r="B216" s="13" t="s">
        <v>232</v>
      </c>
      <c r="C216" s="9"/>
      <c r="D216" s="9"/>
      <c r="E216" s="9">
        <v>0</v>
      </c>
      <c r="F216" s="10"/>
    </row>
    <row r="217" spans="1:6" s="1" customFormat="1">
      <c r="A217" s="27" t="s">
        <v>334</v>
      </c>
      <c r="B217" s="35" t="s">
        <v>131</v>
      </c>
      <c r="C217" s="9"/>
      <c r="D217" s="9"/>
      <c r="E217" s="9"/>
      <c r="F217" s="10"/>
    </row>
    <row r="218" spans="1:6" s="1" customFormat="1">
      <c r="A218" s="27" t="s">
        <v>335</v>
      </c>
      <c r="B218" s="13" t="s">
        <v>233</v>
      </c>
      <c r="C218" s="9"/>
      <c r="D218" s="9"/>
      <c r="E218" s="9">
        <v>10</v>
      </c>
      <c r="F218" s="10"/>
    </row>
    <row r="219" spans="1:6" s="1" customFormat="1">
      <c r="A219" s="27" t="s">
        <v>336</v>
      </c>
      <c r="B219" s="35" t="s">
        <v>132</v>
      </c>
      <c r="C219" s="9"/>
      <c r="D219" s="9"/>
      <c r="E219" s="9"/>
      <c r="F219" s="10"/>
    </row>
    <row r="220" spans="1:6" s="1" customFormat="1">
      <c r="A220" s="27" t="s">
        <v>337</v>
      </c>
      <c r="B220" s="13" t="s">
        <v>234</v>
      </c>
      <c r="C220" s="9"/>
      <c r="D220" s="9"/>
      <c r="E220" s="9">
        <v>18</v>
      </c>
      <c r="F220" s="10"/>
    </row>
    <row r="221" spans="1:6" s="1" customFormat="1">
      <c r="A221" s="27" t="s">
        <v>338</v>
      </c>
      <c r="B221" s="35" t="s">
        <v>133</v>
      </c>
      <c r="C221" s="9"/>
      <c r="D221" s="9"/>
      <c r="E221" s="9"/>
      <c r="F221" s="10"/>
    </row>
    <row r="222" spans="1:6" s="1" customFormat="1">
      <c r="A222" s="27" t="s">
        <v>339</v>
      </c>
      <c r="B222" s="13" t="s">
        <v>235</v>
      </c>
      <c r="C222" s="9"/>
      <c r="D222" s="9"/>
      <c r="E222" s="9">
        <v>0</v>
      </c>
      <c r="F222" s="10"/>
    </row>
    <row r="223" spans="1:6" s="1" customFormat="1">
      <c r="A223" s="27" t="s">
        <v>340</v>
      </c>
      <c r="B223" s="35" t="s">
        <v>134</v>
      </c>
      <c r="C223" s="9"/>
      <c r="D223" s="9"/>
      <c r="E223" s="9"/>
      <c r="F223" s="10"/>
    </row>
    <row r="224" spans="1:6" s="1" customFormat="1">
      <c r="A224" s="27" t="s">
        <v>341</v>
      </c>
      <c r="B224" s="13" t="s">
        <v>236</v>
      </c>
      <c r="C224" s="9"/>
      <c r="D224" s="9"/>
      <c r="E224" s="9"/>
      <c r="F224" s="10"/>
    </row>
    <row r="225" spans="1:8" s="1" customFormat="1">
      <c r="A225" s="27" t="s">
        <v>342</v>
      </c>
      <c r="B225" s="35" t="s">
        <v>135</v>
      </c>
      <c r="C225" s="9"/>
      <c r="D225" s="9"/>
      <c r="E225" s="9"/>
      <c r="F225" s="10"/>
    </row>
    <row r="226" spans="1:8" s="1" customFormat="1">
      <c r="A226" s="27" t="s">
        <v>343</v>
      </c>
      <c r="B226" s="13" t="s">
        <v>237</v>
      </c>
      <c r="C226" s="9"/>
      <c r="D226" s="9"/>
      <c r="E226" s="9">
        <v>5</v>
      </c>
      <c r="F226" s="10"/>
    </row>
    <row r="227" spans="1:8" s="1" customFormat="1" ht="25.5">
      <c r="A227" s="27" t="s">
        <v>344</v>
      </c>
      <c r="B227" s="152" t="s">
        <v>136</v>
      </c>
      <c r="C227" s="9"/>
      <c r="D227" s="9"/>
      <c r="E227" s="9"/>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97">
        <v>3120</v>
      </c>
      <c r="D230" s="47"/>
      <c r="E230" s="47"/>
      <c r="F230" s="47"/>
    </row>
    <row r="231" spans="1:8">
      <c r="A231" s="27" t="s">
        <v>347</v>
      </c>
      <c r="B231" s="152" t="s">
        <v>115</v>
      </c>
      <c r="C231" s="156">
        <v>0</v>
      </c>
      <c r="D231" s="47"/>
      <c r="E231" s="47"/>
      <c r="F231" s="47"/>
    </row>
    <row r="232" spans="1:8" ht="25.5">
      <c r="A232" s="27" t="s">
        <v>348</v>
      </c>
      <c r="B232" s="155" t="s">
        <v>239</v>
      </c>
      <c r="C232" s="156">
        <v>135</v>
      </c>
      <c r="D232" s="47"/>
      <c r="E232" s="47"/>
      <c r="F232" s="47"/>
    </row>
    <row r="233" spans="1:8">
      <c r="A233" s="27" t="s">
        <v>349</v>
      </c>
      <c r="B233" s="152" t="s">
        <v>116</v>
      </c>
      <c r="C233" s="156"/>
      <c r="D233" s="47"/>
      <c r="E233" s="47"/>
      <c r="F233" s="47"/>
    </row>
    <row r="234" spans="1:8" ht="25.5">
      <c r="A234" s="27" t="s">
        <v>350</v>
      </c>
      <c r="B234" s="155" t="s">
        <v>240</v>
      </c>
      <c r="C234" s="156">
        <v>780</v>
      </c>
      <c r="D234" s="47"/>
      <c r="E234" s="47"/>
      <c r="F234" s="47"/>
    </row>
    <row r="235" spans="1:8">
      <c r="A235" s="27" t="s">
        <v>351</v>
      </c>
      <c r="B235" s="152" t="s">
        <v>117</v>
      </c>
      <c r="C235" s="157"/>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92</v>
      </c>
      <c r="D239" s="25"/>
      <c r="E239" s="40"/>
      <c r="F239" s="40"/>
      <c r="G239" s="10"/>
      <c r="H239" s="3"/>
    </row>
    <row r="240" spans="1:8">
      <c r="A240" s="30">
        <v>53</v>
      </c>
      <c r="B240" s="10" t="s">
        <v>63</v>
      </c>
      <c r="C240" s="25">
        <v>4840</v>
      </c>
      <c r="D240" s="25"/>
      <c r="E240" s="40"/>
      <c r="F240" s="40"/>
      <c r="G240" s="10"/>
      <c r="H240" s="3"/>
    </row>
    <row r="241" spans="1:10">
      <c r="A241" s="30">
        <v>54</v>
      </c>
      <c r="B241" s="10" t="s">
        <v>215</v>
      </c>
      <c r="C241" s="25">
        <v>60</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v>603</v>
      </c>
      <c r="D245" s="52">
        <v>426</v>
      </c>
      <c r="E245" s="54">
        <v>134</v>
      </c>
      <c r="F245" s="54">
        <v>55</v>
      </c>
      <c r="G245" s="52">
        <f>SUM(C245:F245)</f>
        <v>1218</v>
      </c>
      <c r="H245" s="145"/>
    </row>
    <row r="246" spans="1:10">
      <c r="A246" s="25" t="s">
        <v>353</v>
      </c>
      <c r="B246" s="13" t="s">
        <v>64</v>
      </c>
      <c r="C246" s="25">
        <v>48</v>
      </c>
      <c r="D246" s="25">
        <v>59</v>
      </c>
      <c r="E246" s="40">
        <v>124</v>
      </c>
      <c r="F246" s="40">
        <v>42</v>
      </c>
      <c r="G246" s="52">
        <f t="shared" ref="G246:G251" si="0">SUM(C246:F246)</f>
        <v>273</v>
      </c>
      <c r="H246" s="3"/>
      <c r="J246" s="25"/>
    </row>
    <row r="247" spans="1:10">
      <c r="A247" s="27" t="s">
        <v>354</v>
      </c>
      <c r="B247" s="13" t="s">
        <v>65</v>
      </c>
      <c r="C247" s="25">
        <v>0</v>
      </c>
      <c r="D247" s="25">
        <v>2</v>
      </c>
      <c r="E247" s="40">
        <v>3</v>
      </c>
      <c r="F247" s="40">
        <v>8</v>
      </c>
      <c r="G247" s="52">
        <f t="shared" si="0"/>
        <v>13</v>
      </c>
      <c r="H247" s="3"/>
    </row>
    <row r="248" spans="1:10">
      <c r="A248" s="27" t="s">
        <v>355</v>
      </c>
      <c r="B248" s="13" t="s">
        <v>66</v>
      </c>
      <c r="C248" s="25">
        <v>4</v>
      </c>
      <c r="D248" s="25">
        <v>5</v>
      </c>
      <c r="E248" s="40">
        <v>4</v>
      </c>
      <c r="F248" s="40">
        <v>1</v>
      </c>
      <c r="G248" s="52">
        <f t="shared" si="0"/>
        <v>14</v>
      </c>
      <c r="H248" s="3"/>
    </row>
    <row r="249" spans="1:10">
      <c r="A249" s="27" t="s">
        <v>356</v>
      </c>
      <c r="B249" s="13" t="s">
        <v>67</v>
      </c>
      <c r="C249" s="25">
        <v>0</v>
      </c>
      <c r="D249" s="25">
        <v>2</v>
      </c>
      <c r="E249" s="40">
        <v>3</v>
      </c>
      <c r="F249" s="40">
        <v>4</v>
      </c>
      <c r="G249" s="52">
        <f t="shared" si="0"/>
        <v>9</v>
      </c>
      <c r="H249" s="3"/>
    </row>
    <row r="250" spans="1:10">
      <c r="A250" s="25" t="s">
        <v>357</v>
      </c>
      <c r="B250" s="13" t="s">
        <v>68</v>
      </c>
      <c r="C250" s="25">
        <v>0</v>
      </c>
      <c r="D250" s="25">
        <v>2</v>
      </c>
      <c r="E250" s="40">
        <v>3</v>
      </c>
      <c r="F250" s="40">
        <v>4</v>
      </c>
      <c r="G250" s="52">
        <f t="shared" si="0"/>
        <v>9</v>
      </c>
      <c r="H250" s="3"/>
    </row>
    <row r="251" spans="1:10" ht="24.75">
      <c r="A251" s="27" t="s">
        <v>358</v>
      </c>
      <c r="B251" s="155" t="s">
        <v>183</v>
      </c>
      <c r="C251" s="25">
        <v>551</v>
      </c>
      <c r="D251" s="25">
        <v>358</v>
      </c>
      <c r="E251" s="40"/>
      <c r="F251" s="40"/>
      <c r="G251" s="52">
        <f t="shared" si="0"/>
        <v>909</v>
      </c>
      <c r="H251" s="3"/>
    </row>
    <row r="252" spans="1:10" ht="15">
      <c r="B252" s="161"/>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pageSetup orientation="portrait" r:id="rId2"/>
  <legacyDrawing r:id="rId3"/>
</worksheet>
</file>

<file path=xl/worksheets/sheet24.xml><?xml version="1.0" encoding="utf-8"?>
<worksheet xmlns="http://schemas.openxmlformats.org/spreadsheetml/2006/main" xmlns:r="http://schemas.openxmlformats.org/officeDocument/2006/relationships">
  <dimension ref="A1:J252"/>
  <sheetViews>
    <sheetView topLeftCell="A4" zoomScale="90" zoomScaleNormal="90" workbookViewId="0">
      <selection activeCell="C38" sqref="C38"/>
    </sheetView>
  </sheetViews>
  <sheetFormatPr defaultRowHeight="12.75"/>
  <cols>
    <col min="1" max="1" width="11.28515625" customWidth="1"/>
    <col min="2" max="2" width="71.85546875" customWidth="1"/>
    <col min="3" max="3" width="12.5703125" customWidth="1"/>
    <col min="4" max="4" width="10.7109375" customWidth="1"/>
    <col min="5" max="5" width="12.28515625" customWidth="1"/>
    <col min="6" max="6" width="6.28515625" customWidth="1"/>
    <col min="7" max="7" width="11.5703125" customWidth="1"/>
    <col min="8" max="8" width="9.140625" customWidth="1"/>
  </cols>
  <sheetData>
    <row r="1" spans="1:8" ht="18">
      <c r="A1" s="593"/>
      <c r="B1" s="594" t="s">
        <v>241</v>
      </c>
      <c r="C1" s="594"/>
      <c r="D1" s="648" t="s">
        <v>374</v>
      </c>
      <c r="E1" s="595"/>
      <c r="F1" s="595"/>
      <c r="G1" s="594"/>
      <c r="H1" s="596"/>
    </row>
    <row r="2" spans="1:8">
      <c r="A2" s="597"/>
      <c r="B2" s="596"/>
      <c r="C2" s="597"/>
      <c r="D2" s="597"/>
      <c r="E2" s="597"/>
      <c r="F2" s="597"/>
      <c r="G2" s="596"/>
      <c r="H2" s="596"/>
    </row>
    <row r="3" spans="1:8" ht="15.75">
      <c r="A3" s="598" t="s">
        <v>161</v>
      </c>
      <c r="B3" s="599" t="s">
        <v>723</v>
      </c>
      <c r="C3" s="600"/>
      <c r="D3" s="601" t="s">
        <v>185</v>
      </c>
      <c r="E3" s="600"/>
      <c r="F3" s="600"/>
      <c r="G3" s="596"/>
      <c r="H3" s="596"/>
    </row>
    <row r="4" spans="1:8">
      <c r="A4" s="597"/>
      <c r="B4" s="596"/>
      <c r="C4" s="597"/>
      <c r="D4" s="597"/>
      <c r="E4" s="597"/>
      <c r="F4" s="597"/>
      <c r="G4" s="596"/>
      <c r="H4" s="596"/>
    </row>
    <row r="5" spans="1:8" ht="12.75" customHeight="1">
      <c r="A5" s="1237" t="s">
        <v>189</v>
      </c>
      <c r="B5" s="599" t="s">
        <v>724</v>
      </c>
      <c r="C5" s="600"/>
      <c r="D5" s="602" t="s">
        <v>186</v>
      </c>
      <c r="E5" s="600"/>
      <c r="F5" s="600"/>
      <c r="G5" s="596"/>
      <c r="H5" s="596"/>
    </row>
    <row r="6" spans="1:8" ht="20.25" customHeight="1">
      <c r="A6" s="1237"/>
      <c r="B6" s="600"/>
      <c r="C6" s="597"/>
      <c r="D6" s="603" t="s">
        <v>187</v>
      </c>
      <c r="E6" s="597"/>
      <c r="F6" s="597"/>
      <c r="G6" s="596"/>
      <c r="H6" s="596"/>
    </row>
    <row r="7" spans="1:8" ht="12.75" customHeight="1">
      <c r="A7" s="1237" t="s">
        <v>184</v>
      </c>
      <c r="B7" s="599" t="s">
        <v>725</v>
      </c>
      <c r="C7" s="600"/>
      <c r="D7" s="600"/>
      <c r="E7" s="600"/>
      <c r="F7" s="600"/>
      <c r="G7" s="596"/>
      <c r="H7" s="596"/>
    </row>
    <row r="8" spans="1:8">
      <c r="A8" s="1237"/>
      <c r="B8" s="596"/>
      <c r="C8" s="600"/>
      <c r="D8" s="603" t="s">
        <v>188</v>
      </c>
      <c r="E8" s="597"/>
      <c r="F8" s="597"/>
      <c r="G8" s="596"/>
      <c r="H8" s="596"/>
    </row>
    <row r="9" spans="1:8">
      <c r="A9" s="604" t="s">
        <v>190</v>
      </c>
      <c r="B9" s="680" t="s">
        <v>726</v>
      </c>
      <c r="C9" s="600"/>
      <c r="D9" s="597"/>
      <c r="E9" s="597"/>
      <c r="F9" s="597"/>
      <c r="G9" s="596"/>
      <c r="H9" s="596"/>
    </row>
    <row r="10" spans="1:8">
      <c r="A10" s="595"/>
      <c r="B10" s="596"/>
      <c r="C10" s="597"/>
      <c r="D10" s="605" t="s">
        <v>242</v>
      </c>
      <c r="E10" s="597"/>
      <c r="F10" s="606"/>
      <c r="G10" s="596"/>
      <c r="H10" s="596"/>
    </row>
    <row r="11" spans="1:8">
      <c r="A11" s="607" t="s">
        <v>162</v>
      </c>
      <c r="B11" s="681" t="s">
        <v>727</v>
      </c>
      <c r="C11" s="600"/>
      <c r="D11" s="597"/>
      <c r="E11" s="597"/>
      <c r="F11" s="597"/>
      <c r="G11" s="596"/>
      <c r="H11" s="596"/>
    </row>
    <row r="12" spans="1:8">
      <c r="A12" s="597"/>
      <c r="B12" s="596"/>
      <c r="C12" s="597"/>
      <c r="D12" s="595"/>
      <c r="E12" s="597"/>
      <c r="F12" s="597"/>
      <c r="G12" s="596"/>
      <c r="H12" s="596"/>
    </row>
    <row r="13" spans="1:8">
      <c r="A13" s="1238" t="s">
        <v>163</v>
      </c>
      <c r="B13" s="681" t="s">
        <v>728</v>
      </c>
      <c r="C13" s="600"/>
      <c r="D13" s="600"/>
      <c r="E13" s="597"/>
      <c r="F13" s="597"/>
      <c r="G13" s="596"/>
      <c r="H13" s="596"/>
    </row>
    <row r="14" spans="1:8">
      <c r="A14" s="1238"/>
      <c r="B14" s="596"/>
      <c r="C14" s="596"/>
      <c r="D14" s="596"/>
      <c r="E14" s="596"/>
      <c r="F14" s="596"/>
      <c r="G14" s="596"/>
      <c r="H14" s="596"/>
    </row>
    <row r="16" spans="1:8" ht="13.5">
      <c r="A16" s="1316" t="s">
        <v>494</v>
      </c>
      <c r="B16" s="1414"/>
      <c r="C16" s="1319"/>
      <c r="D16" s="1319"/>
      <c r="E16" s="1319"/>
      <c r="F16" s="1319"/>
      <c r="G16" s="1409"/>
      <c r="H16" s="608"/>
    </row>
    <row r="17" spans="1:8">
      <c r="A17" s="572" t="s">
        <v>86</v>
      </c>
      <c r="B17" s="572" t="s">
        <v>8</v>
      </c>
      <c r="C17" s="572" t="s">
        <v>0</v>
      </c>
      <c r="D17" s="1407" t="s">
        <v>149</v>
      </c>
      <c r="E17" s="1407"/>
      <c r="F17" s="609"/>
      <c r="G17" s="610"/>
      <c r="H17" s="611"/>
    </row>
    <row r="18" spans="1:8">
      <c r="A18" s="572">
        <v>1</v>
      </c>
      <c r="B18" s="573" t="s">
        <v>1</v>
      </c>
      <c r="C18" s="574">
        <v>1</v>
      </c>
      <c r="D18" s="1405"/>
      <c r="E18" s="1405"/>
      <c r="F18" s="612"/>
      <c r="G18" s="613"/>
      <c r="H18" s="600"/>
    </row>
    <row r="19" spans="1:8">
      <c r="A19" s="575" t="s">
        <v>111</v>
      </c>
      <c r="B19" s="614" t="s">
        <v>228</v>
      </c>
      <c r="C19" s="574">
        <v>0</v>
      </c>
      <c r="D19" s="1405"/>
      <c r="E19" s="1405"/>
      <c r="F19" s="612"/>
      <c r="G19" s="613"/>
      <c r="H19" s="600"/>
    </row>
    <row r="20" spans="1:8" ht="25.5">
      <c r="A20" s="575" t="s">
        <v>112</v>
      </c>
      <c r="B20" s="614" t="s">
        <v>229</v>
      </c>
      <c r="C20" s="574">
        <v>8</v>
      </c>
      <c r="D20" s="1405"/>
      <c r="E20" s="1405"/>
      <c r="F20" s="612"/>
      <c r="G20" s="613"/>
      <c r="H20" s="600"/>
    </row>
    <row r="21" spans="1:8" ht="25.5">
      <c r="A21" s="575" t="s">
        <v>113</v>
      </c>
      <c r="B21" s="615" t="s">
        <v>230</v>
      </c>
      <c r="C21" s="574">
        <v>0</v>
      </c>
      <c r="D21" s="1405"/>
      <c r="E21" s="1405"/>
      <c r="F21" s="612"/>
      <c r="G21" s="613"/>
      <c r="H21" s="600"/>
    </row>
    <row r="22" spans="1:8" ht="25.5">
      <c r="A22" s="575" t="s">
        <v>114</v>
      </c>
      <c r="B22" s="615" t="s">
        <v>231</v>
      </c>
      <c r="C22" s="577">
        <v>3</v>
      </c>
      <c r="D22" s="1405"/>
      <c r="E22" s="1405"/>
      <c r="F22" s="612"/>
      <c r="G22" s="613"/>
      <c r="H22" s="600"/>
    </row>
    <row r="23" spans="1:8">
      <c r="A23" s="1313"/>
      <c r="B23" s="1408"/>
      <c r="C23" s="1319"/>
      <c r="D23" s="1319"/>
      <c r="E23" s="1319"/>
      <c r="F23" s="1319"/>
      <c r="G23" s="1409"/>
      <c r="H23" s="608"/>
    </row>
    <row r="24" spans="1:8" ht="13.5">
      <c r="A24" s="1316" t="s">
        <v>498</v>
      </c>
      <c r="B24" s="1413"/>
      <c r="C24" s="1413"/>
      <c r="D24" s="1413"/>
      <c r="E24" s="1413"/>
      <c r="F24" s="1413"/>
      <c r="G24" s="1409"/>
      <c r="H24" s="608"/>
    </row>
    <row r="25" spans="1:8">
      <c r="A25" s="572" t="s">
        <v>86</v>
      </c>
      <c r="B25" s="572" t="s">
        <v>8</v>
      </c>
      <c r="C25" s="572" t="s">
        <v>2</v>
      </c>
      <c r="D25" s="1407" t="s">
        <v>149</v>
      </c>
      <c r="E25" s="1407"/>
      <c r="F25" s="609"/>
      <c r="G25" s="610"/>
      <c r="H25" s="611"/>
    </row>
    <row r="26" spans="1:8">
      <c r="A26" s="572">
        <v>2</v>
      </c>
      <c r="B26" s="573" t="s">
        <v>243</v>
      </c>
      <c r="C26" s="586">
        <f>SUM(C27:C29)</f>
        <v>9.5</v>
      </c>
      <c r="D26" s="1405"/>
      <c r="E26" s="1405"/>
      <c r="F26" s="612"/>
      <c r="G26" s="613"/>
      <c r="H26" s="600"/>
    </row>
    <row r="27" spans="1:8">
      <c r="A27" s="574" t="s">
        <v>3</v>
      </c>
      <c r="B27" s="576" t="s">
        <v>4</v>
      </c>
      <c r="C27" s="578">
        <v>8.5</v>
      </c>
      <c r="D27" s="1405"/>
      <c r="E27" s="1405"/>
      <c r="F27" s="612"/>
      <c r="G27" s="613"/>
      <c r="H27" s="600"/>
    </row>
    <row r="28" spans="1:8">
      <c r="A28" s="575" t="s">
        <v>5</v>
      </c>
      <c r="B28" s="576" t="s">
        <v>144</v>
      </c>
      <c r="C28" s="578">
        <v>0.5</v>
      </c>
      <c r="D28" s="1405"/>
      <c r="E28" s="1405"/>
      <c r="F28" s="612"/>
      <c r="G28" s="613"/>
      <c r="H28" s="600"/>
    </row>
    <row r="29" spans="1:8">
      <c r="A29" s="574" t="s">
        <v>145</v>
      </c>
      <c r="B29" s="576" t="s">
        <v>146</v>
      </c>
      <c r="C29" s="578">
        <v>0.5</v>
      </c>
      <c r="D29" s="1309"/>
      <c r="E29" s="1412"/>
      <c r="F29" s="617"/>
      <c r="G29" s="613"/>
      <c r="H29" s="600"/>
    </row>
    <row r="30" spans="1:8">
      <c r="A30" s="574" t="s">
        <v>244</v>
      </c>
      <c r="B30" s="576" t="s">
        <v>245</v>
      </c>
      <c r="C30" s="578">
        <v>16</v>
      </c>
      <c r="D30" s="616"/>
      <c r="E30" s="617"/>
      <c r="F30" s="617"/>
      <c r="G30" s="613"/>
      <c r="H30" s="600"/>
    </row>
    <row r="31" spans="1:8">
      <c r="A31" s="572">
        <v>3</v>
      </c>
      <c r="B31" s="573" t="s">
        <v>14</v>
      </c>
      <c r="C31" s="586">
        <f>SUM(C32:C34)</f>
        <v>16</v>
      </c>
      <c r="D31" s="1405"/>
      <c r="E31" s="1405"/>
      <c r="F31" s="612"/>
      <c r="G31" s="613"/>
      <c r="H31" s="600"/>
    </row>
    <row r="32" spans="1:8">
      <c r="A32" s="574" t="s">
        <v>6</v>
      </c>
      <c r="B32" s="576" t="s">
        <v>7</v>
      </c>
      <c r="C32" s="578">
        <v>13</v>
      </c>
      <c r="D32" s="1405"/>
      <c r="E32" s="1405"/>
      <c r="F32" s="612"/>
      <c r="G32" s="613"/>
      <c r="H32" s="600"/>
    </row>
    <row r="33" spans="1:8">
      <c r="A33" s="575" t="s">
        <v>12</v>
      </c>
      <c r="B33" s="576" t="s">
        <v>15</v>
      </c>
      <c r="C33" s="578">
        <v>1</v>
      </c>
      <c r="D33" s="1405"/>
      <c r="E33" s="1405"/>
      <c r="F33" s="612"/>
      <c r="G33" s="613"/>
      <c r="H33" s="600"/>
    </row>
    <row r="34" spans="1:8">
      <c r="A34" s="575" t="s">
        <v>13</v>
      </c>
      <c r="B34" s="576" t="s">
        <v>148</v>
      </c>
      <c r="C34" s="578">
        <v>2</v>
      </c>
      <c r="D34" s="1405"/>
      <c r="E34" s="1405"/>
      <c r="F34" s="612"/>
      <c r="G34" s="613"/>
      <c r="H34" s="600"/>
    </row>
    <row r="35" spans="1:8">
      <c r="A35" s="572">
        <v>4</v>
      </c>
      <c r="B35" s="579" t="s">
        <v>17</v>
      </c>
      <c r="C35" s="578">
        <v>0</v>
      </c>
      <c r="D35" s="1405"/>
      <c r="E35" s="1405"/>
      <c r="F35" s="612"/>
      <c r="G35" s="613"/>
      <c r="H35" s="600"/>
    </row>
    <row r="36" spans="1:8">
      <c r="A36" s="575" t="s">
        <v>16</v>
      </c>
      <c r="B36" s="576" t="s">
        <v>84</v>
      </c>
      <c r="C36" s="578">
        <v>0.25</v>
      </c>
      <c r="D36" s="1405"/>
      <c r="E36" s="1405"/>
      <c r="F36" s="612"/>
      <c r="G36" s="613"/>
      <c r="H36" s="600"/>
    </row>
    <row r="37" spans="1:8" ht="25.5">
      <c r="A37" s="572">
        <v>5</v>
      </c>
      <c r="B37" s="618" t="s">
        <v>26</v>
      </c>
      <c r="C37" s="578">
        <v>6.2</v>
      </c>
      <c r="D37" s="1405"/>
      <c r="E37" s="1405"/>
      <c r="F37" s="612"/>
      <c r="G37" s="613"/>
      <c r="H37" s="600"/>
    </row>
    <row r="38" spans="1:8">
      <c r="A38" s="580" t="s">
        <v>147</v>
      </c>
      <c r="B38" s="579" t="s">
        <v>150</v>
      </c>
      <c r="C38" s="578">
        <v>0.8</v>
      </c>
      <c r="D38" s="1407"/>
      <c r="E38" s="1407"/>
      <c r="F38" s="609"/>
      <c r="G38" s="613"/>
      <c r="H38" s="600"/>
    </row>
    <row r="39" spans="1:8">
      <c r="A39" s="572">
        <v>6</v>
      </c>
      <c r="B39" s="573" t="s">
        <v>85</v>
      </c>
      <c r="C39" s="586">
        <f>SUM(C26+C31+C35+C37)</f>
        <v>31.7</v>
      </c>
      <c r="D39" s="1405"/>
      <c r="E39" s="1405"/>
      <c r="F39" s="612"/>
      <c r="G39" s="613"/>
      <c r="H39" s="600"/>
    </row>
    <row r="40" spans="1:8">
      <c r="A40" s="1313"/>
      <c r="B40" s="1408"/>
      <c r="C40" s="1319"/>
      <c r="D40" s="1319"/>
      <c r="E40" s="1319"/>
      <c r="F40" s="1319"/>
      <c r="G40" s="1409"/>
      <c r="H40" s="608"/>
    </row>
    <row r="41" spans="1:8" ht="15.75">
      <c r="A41" s="1316" t="s">
        <v>361</v>
      </c>
      <c r="B41" s="1410"/>
      <c r="C41" s="1410"/>
      <c r="D41" s="1410"/>
      <c r="E41" s="1410"/>
      <c r="F41" s="1410"/>
      <c r="G41" s="1411"/>
      <c r="H41" s="619"/>
    </row>
    <row r="42" spans="1:8">
      <c r="A42" s="572" t="s">
        <v>86</v>
      </c>
      <c r="B42" s="572" t="s">
        <v>8</v>
      </c>
      <c r="C42" s="572" t="s">
        <v>9</v>
      </c>
      <c r="D42" s="1407" t="s">
        <v>149</v>
      </c>
      <c r="E42" s="1407"/>
      <c r="F42" s="609"/>
      <c r="G42" s="610"/>
      <c r="H42" s="611"/>
    </row>
    <row r="43" spans="1:8">
      <c r="A43" s="572"/>
      <c r="B43" s="620" t="s">
        <v>10</v>
      </c>
      <c r="C43" s="1405"/>
      <c r="D43" s="1405"/>
      <c r="E43" s="1405"/>
      <c r="F43" s="612"/>
      <c r="G43" s="613"/>
      <c r="H43" s="600"/>
    </row>
    <row r="44" spans="1:8">
      <c r="A44" s="572">
        <v>7</v>
      </c>
      <c r="B44" s="573" t="s">
        <v>246</v>
      </c>
      <c r="C44" s="621">
        <v>669112</v>
      </c>
      <c r="D44" s="1405"/>
      <c r="E44" s="1405"/>
      <c r="F44" s="612"/>
      <c r="G44" s="613"/>
      <c r="H44" s="600"/>
    </row>
    <row r="45" spans="1:8">
      <c r="A45" s="574" t="s">
        <v>11</v>
      </c>
      <c r="B45" s="576" t="s">
        <v>19</v>
      </c>
      <c r="C45" s="587">
        <v>612674</v>
      </c>
      <c r="D45" s="1405"/>
      <c r="E45" s="1405"/>
      <c r="F45" s="612"/>
      <c r="G45" s="613"/>
      <c r="H45" s="600"/>
    </row>
    <row r="46" spans="1:8">
      <c r="A46" s="575" t="s">
        <v>18</v>
      </c>
      <c r="B46" s="576" t="s">
        <v>151</v>
      </c>
      <c r="C46" s="587">
        <v>56438</v>
      </c>
      <c r="D46" s="1405"/>
      <c r="E46" s="1405"/>
      <c r="F46" s="612"/>
      <c r="G46" s="613"/>
      <c r="H46" s="600"/>
    </row>
    <row r="47" spans="1:8">
      <c r="A47" s="574" t="s">
        <v>247</v>
      </c>
      <c r="B47" s="576" t="s">
        <v>248</v>
      </c>
      <c r="C47" s="591">
        <v>0</v>
      </c>
      <c r="D47" s="612"/>
      <c r="E47" s="612"/>
      <c r="F47" s="612"/>
      <c r="G47" s="613"/>
      <c r="H47" s="600"/>
    </row>
    <row r="48" spans="1:8">
      <c r="A48" s="572">
        <v>8</v>
      </c>
      <c r="B48" s="573" t="s">
        <v>109</v>
      </c>
      <c r="C48" s="621">
        <f>SUM(C49:C51)</f>
        <v>672297</v>
      </c>
      <c r="D48" s="1405"/>
      <c r="E48" s="1405"/>
      <c r="F48" s="612"/>
      <c r="G48" s="613"/>
      <c r="H48" s="600"/>
    </row>
    <row r="49" spans="1:8">
      <c r="A49" s="581" t="s">
        <v>20</v>
      </c>
      <c r="B49" s="582" t="s">
        <v>23</v>
      </c>
      <c r="C49" s="587">
        <v>516531</v>
      </c>
      <c r="D49" s="1405"/>
      <c r="E49" s="1405"/>
      <c r="F49" s="612"/>
      <c r="G49" s="613"/>
      <c r="H49" s="600"/>
    </row>
    <row r="50" spans="1:8">
      <c r="A50" s="575" t="s">
        <v>21</v>
      </c>
      <c r="B50" s="576" t="s">
        <v>24</v>
      </c>
      <c r="C50" s="587">
        <v>41454</v>
      </c>
      <c r="D50" s="1405"/>
      <c r="E50" s="1405"/>
      <c r="F50" s="612"/>
      <c r="G50" s="613"/>
      <c r="H50" s="600"/>
    </row>
    <row r="51" spans="1:8">
      <c r="A51" s="575" t="s">
        <v>22</v>
      </c>
      <c r="B51" s="576" t="s">
        <v>25</v>
      </c>
      <c r="C51" s="587">
        <v>114312</v>
      </c>
      <c r="D51" s="1405"/>
      <c r="E51" s="1405"/>
      <c r="F51" s="612"/>
      <c r="G51" s="613"/>
      <c r="H51" s="600"/>
    </row>
    <row r="52" spans="1:8" ht="25.5">
      <c r="A52" s="583">
        <v>9</v>
      </c>
      <c r="B52" s="584" t="s">
        <v>27</v>
      </c>
      <c r="C52" s="588">
        <v>102947</v>
      </c>
      <c r="D52" s="1405"/>
      <c r="E52" s="1405"/>
      <c r="F52" s="612"/>
      <c r="G52" s="613"/>
      <c r="H52" s="600"/>
    </row>
    <row r="53" spans="1:8">
      <c r="A53" s="583">
        <v>10</v>
      </c>
      <c r="B53" s="584" t="s">
        <v>249</v>
      </c>
      <c r="C53" s="588">
        <f>SUM(C44+C48+C52)</f>
        <v>1444356</v>
      </c>
      <c r="D53" s="616"/>
      <c r="E53" s="622"/>
      <c r="F53" s="622"/>
      <c r="G53" s="613"/>
      <c r="H53" s="600"/>
    </row>
    <row r="54" spans="1:8">
      <c r="A54" s="583"/>
      <c r="B54" s="584"/>
      <c r="C54" s="587"/>
      <c r="D54" s="1309"/>
      <c r="E54" s="1310"/>
      <c r="F54" s="622"/>
      <c r="G54" s="613"/>
      <c r="H54" s="600"/>
    </row>
    <row r="55" spans="1:8">
      <c r="A55" s="682"/>
      <c r="B55" s="683" t="s">
        <v>250</v>
      </c>
      <c r="C55" s="684"/>
      <c r="D55" s="1425"/>
      <c r="E55" s="1424"/>
      <c r="F55" s="685"/>
      <c r="G55" s="686"/>
      <c r="H55" s="600"/>
    </row>
    <row r="56" spans="1:8" ht="25.5">
      <c r="A56" s="687">
        <v>11</v>
      </c>
      <c r="B56" s="688" t="s">
        <v>251</v>
      </c>
      <c r="C56" s="232">
        <v>43636</v>
      </c>
      <c r="D56" s="1424"/>
      <c r="E56" s="1424"/>
      <c r="F56" s="685"/>
      <c r="G56" s="686"/>
      <c r="H56" s="600"/>
    </row>
    <row r="57" spans="1:8">
      <c r="A57" s="689" t="s">
        <v>30</v>
      </c>
      <c r="B57" s="690" t="s">
        <v>28</v>
      </c>
      <c r="C57" s="691">
        <v>43636</v>
      </c>
      <c r="D57" s="1424"/>
      <c r="E57" s="1424"/>
      <c r="F57" s="685"/>
      <c r="G57" s="686"/>
      <c r="H57" s="600"/>
    </row>
    <row r="58" spans="1:8">
      <c r="A58" s="689" t="s">
        <v>32</v>
      </c>
      <c r="B58" s="690" t="s">
        <v>363</v>
      </c>
      <c r="C58" s="691">
        <v>0</v>
      </c>
      <c r="D58" s="1424"/>
      <c r="E58" s="1424"/>
      <c r="F58" s="685"/>
      <c r="G58" s="686"/>
      <c r="H58" s="600"/>
    </row>
    <row r="59" spans="1:8">
      <c r="A59" s="689" t="s">
        <v>34</v>
      </c>
      <c r="B59" s="690" t="s">
        <v>29</v>
      </c>
      <c r="C59" s="691">
        <v>0</v>
      </c>
      <c r="D59" s="1424"/>
      <c r="E59" s="1424"/>
      <c r="F59" s="685"/>
      <c r="G59" s="686"/>
      <c r="H59" s="600"/>
    </row>
    <row r="60" spans="1:8" ht="25.5">
      <c r="A60" s="687">
        <v>12</v>
      </c>
      <c r="B60" s="688" t="s">
        <v>252</v>
      </c>
      <c r="C60" s="692">
        <f>SUM(C61+C62+C64+C65+C66)</f>
        <v>660107</v>
      </c>
      <c r="D60" s="1424"/>
      <c r="E60" s="1424"/>
      <c r="F60" s="685"/>
      <c r="G60" s="686"/>
      <c r="H60" s="600"/>
    </row>
    <row r="61" spans="1:8">
      <c r="A61" s="689" t="s">
        <v>36</v>
      </c>
      <c r="B61" s="690" t="s">
        <v>31</v>
      </c>
      <c r="C61" s="691">
        <v>214696</v>
      </c>
      <c r="D61" s="1424"/>
      <c r="E61" s="1424"/>
      <c r="F61" s="685"/>
      <c r="G61" s="686"/>
      <c r="H61" s="600"/>
    </row>
    <row r="62" spans="1:8">
      <c r="A62" s="689" t="s">
        <v>38</v>
      </c>
      <c r="B62" s="690" t="s">
        <v>206</v>
      </c>
      <c r="C62" s="691">
        <v>434672</v>
      </c>
      <c r="D62" s="1424"/>
      <c r="E62" s="1424"/>
      <c r="F62" s="685"/>
      <c r="G62" s="686"/>
      <c r="H62" s="600"/>
    </row>
    <row r="63" spans="1:8">
      <c r="A63" s="689" t="s">
        <v>253</v>
      </c>
      <c r="B63" s="690" t="s">
        <v>33</v>
      </c>
      <c r="C63" s="691">
        <v>85976</v>
      </c>
      <c r="D63" s="1424" t="s">
        <v>729</v>
      </c>
      <c r="E63" s="1424"/>
      <c r="F63" s="685"/>
      <c r="G63" s="686"/>
      <c r="H63" s="600"/>
    </row>
    <row r="64" spans="1:8">
      <c r="A64" s="689" t="s">
        <v>39</v>
      </c>
      <c r="B64" s="690" t="s">
        <v>35</v>
      </c>
      <c r="C64" s="691">
        <v>7992</v>
      </c>
      <c r="D64" s="1424"/>
      <c r="E64" s="1424"/>
      <c r="F64" s="685"/>
      <c r="G64" s="686"/>
      <c r="H64" s="600"/>
    </row>
    <row r="65" spans="1:8">
      <c r="A65" s="693" t="s">
        <v>254</v>
      </c>
      <c r="B65" s="690" t="s">
        <v>153</v>
      </c>
      <c r="C65" s="691">
        <v>691</v>
      </c>
      <c r="D65" s="1424"/>
      <c r="E65" s="1424"/>
      <c r="F65" s="685"/>
      <c r="G65" s="686"/>
      <c r="H65" s="600"/>
    </row>
    <row r="66" spans="1:8">
      <c r="A66" s="693" t="s">
        <v>255</v>
      </c>
      <c r="B66" s="694" t="s">
        <v>216</v>
      </c>
      <c r="C66" s="691">
        <v>2056</v>
      </c>
      <c r="D66" s="1424"/>
      <c r="E66" s="1424"/>
      <c r="F66" s="685"/>
      <c r="G66" s="686"/>
      <c r="H66" s="600"/>
    </row>
    <row r="67" spans="1:8">
      <c r="A67" s="687">
        <v>13</v>
      </c>
      <c r="B67" s="695" t="s">
        <v>256</v>
      </c>
      <c r="C67" s="692">
        <f>SUM(C68:C69)</f>
        <v>18158</v>
      </c>
      <c r="D67" s="1424"/>
      <c r="E67" s="1424"/>
      <c r="F67" s="685"/>
      <c r="G67" s="686"/>
      <c r="H67" s="600"/>
    </row>
    <row r="68" spans="1:8">
      <c r="A68" s="689" t="s">
        <v>156</v>
      </c>
      <c r="B68" s="694" t="s">
        <v>40</v>
      </c>
      <c r="C68" s="691">
        <v>21</v>
      </c>
      <c r="D68" s="1424"/>
      <c r="E68" s="1424"/>
      <c r="F68" s="685"/>
      <c r="G68" s="686"/>
      <c r="H68" s="600"/>
    </row>
    <row r="69" spans="1:8">
      <c r="A69" s="689" t="s">
        <v>157</v>
      </c>
      <c r="B69" s="694" t="s">
        <v>41</v>
      </c>
      <c r="C69" s="691">
        <v>18137</v>
      </c>
      <c r="D69" s="1424"/>
      <c r="E69" s="1424"/>
      <c r="F69" s="685"/>
      <c r="G69" s="686"/>
      <c r="H69" s="600"/>
    </row>
    <row r="70" spans="1:8">
      <c r="A70" s="682">
        <v>14</v>
      </c>
      <c r="B70" s="696" t="s">
        <v>257</v>
      </c>
      <c r="C70" s="692">
        <v>0</v>
      </c>
      <c r="D70" s="1424"/>
      <c r="E70" s="1424"/>
      <c r="F70" s="685"/>
      <c r="G70" s="686"/>
      <c r="H70" s="600"/>
    </row>
    <row r="71" spans="1:8">
      <c r="A71" s="697" t="s">
        <v>42</v>
      </c>
      <c r="B71" s="698" t="s">
        <v>155</v>
      </c>
      <c r="C71" s="691">
        <v>0</v>
      </c>
      <c r="D71" s="1425"/>
      <c r="E71" s="1425"/>
      <c r="F71" s="699"/>
      <c r="G71" s="686"/>
      <c r="H71" s="600"/>
    </row>
    <row r="72" spans="1:8">
      <c r="A72" s="697" t="s">
        <v>43</v>
      </c>
      <c r="B72" s="700" t="s">
        <v>258</v>
      </c>
      <c r="C72" s="691">
        <v>0</v>
      </c>
      <c r="D72" s="699"/>
      <c r="E72" s="699"/>
      <c r="F72" s="699"/>
      <c r="G72" s="686"/>
      <c r="H72" s="600"/>
    </row>
    <row r="73" spans="1:8">
      <c r="A73" s="697" t="s">
        <v>45</v>
      </c>
      <c r="B73" s="701" t="s">
        <v>44</v>
      </c>
      <c r="C73" s="691">
        <v>0</v>
      </c>
      <c r="D73" s="1424"/>
      <c r="E73" s="1424"/>
      <c r="F73" s="685"/>
      <c r="G73" s="686"/>
      <c r="H73" s="600"/>
    </row>
    <row r="74" spans="1:8">
      <c r="A74" s="697" t="s">
        <v>154</v>
      </c>
      <c r="B74" s="701" t="s">
        <v>46</v>
      </c>
      <c r="C74" s="691">
        <v>0</v>
      </c>
      <c r="D74" s="1424"/>
      <c r="E74" s="1424"/>
      <c r="F74" s="685"/>
      <c r="G74" s="686"/>
      <c r="H74" s="600"/>
    </row>
    <row r="75" spans="1:8">
      <c r="A75" s="702" t="s">
        <v>259</v>
      </c>
      <c r="B75" s="701" t="s">
        <v>104</v>
      </c>
      <c r="C75" s="691">
        <v>0</v>
      </c>
      <c r="D75" s="1424"/>
      <c r="E75" s="1424"/>
      <c r="F75" s="685"/>
      <c r="G75" s="686"/>
      <c r="H75" s="600"/>
    </row>
    <row r="76" spans="1:8">
      <c r="A76" s="703">
        <v>15</v>
      </c>
      <c r="B76" s="696" t="s">
        <v>260</v>
      </c>
      <c r="C76" s="704">
        <f>SUM(C56+C60+C67+C70)</f>
        <v>721901</v>
      </c>
      <c r="D76" s="685"/>
      <c r="E76" s="685"/>
      <c r="F76" s="685"/>
      <c r="G76" s="686"/>
      <c r="H76" s="600"/>
    </row>
    <row r="77" spans="1:8">
      <c r="A77" s="637"/>
      <c r="B77" s="610"/>
      <c r="C77" s="590"/>
      <c r="D77" s="612"/>
      <c r="E77" s="612"/>
      <c r="F77" s="612"/>
      <c r="G77" s="613"/>
      <c r="H77" s="600"/>
    </row>
    <row r="78" spans="1:8">
      <c r="A78" s="637"/>
      <c r="B78" s="639" t="s">
        <v>261</v>
      </c>
      <c r="C78" s="587"/>
      <c r="D78" s="1405"/>
      <c r="E78" s="1405"/>
      <c r="F78" s="612"/>
      <c r="G78" s="613"/>
      <c r="H78" s="600"/>
    </row>
    <row r="79" spans="1:8">
      <c r="A79" s="637"/>
      <c r="C79" s="587"/>
      <c r="D79" s="612"/>
      <c r="E79" s="612"/>
      <c r="F79" s="612"/>
      <c r="G79" s="613"/>
      <c r="H79" s="600"/>
    </row>
    <row r="80" spans="1:8">
      <c r="A80" s="623">
        <v>16</v>
      </c>
      <c r="B80" s="640" t="s">
        <v>262</v>
      </c>
      <c r="C80" s="591">
        <f>SUM(C81:C85)</f>
        <v>18732</v>
      </c>
      <c r="D80" s="612"/>
      <c r="E80" s="612"/>
      <c r="F80" s="612"/>
      <c r="G80" s="613"/>
      <c r="H80" s="600"/>
    </row>
    <row r="81" spans="1:8">
      <c r="A81" s="637" t="s">
        <v>263</v>
      </c>
      <c r="B81" s="613" t="s">
        <v>264</v>
      </c>
      <c r="C81" s="587">
        <v>18563</v>
      </c>
      <c r="D81" s="612"/>
      <c r="E81" s="612"/>
      <c r="F81" s="612"/>
      <c r="G81" s="613"/>
      <c r="H81" s="600"/>
    </row>
    <row r="82" spans="1:8" ht="25.5">
      <c r="A82" s="637" t="s">
        <v>192</v>
      </c>
      <c r="B82" s="641" t="s">
        <v>207</v>
      </c>
      <c r="C82" s="587" t="s">
        <v>400</v>
      </c>
      <c r="D82" s="612"/>
      <c r="E82" s="612"/>
      <c r="F82" s="612"/>
      <c r="G82" s="613"/>
      <c r="H82" s="600"/>
    </row>
    <row r="83" spans="1:8">
      <c r="A83" s="637" t="s">
        <v>193</v>
      </c>
      <c r="B83" s="613" t="s">
        <v>158</v>
      </c>
      <c r="C83" s="587">
        <v>169</v>
      </c>
      <c r="D83" s="612"/>
      <c r="E83" s="612"/>
      <c r="F83" s="612"/>
      <c r="G83" s="613"/>
      <c r="H83" s="600"/>
    </row>
    <row r="84" spans="1:8">
      <c r="A84" s="637" t="s">
        <v>265</v>
      </c>
      <c r="B84" s="613" t="s">
        <v>159</v>
      </c>
      <c r="C84" s="587">
        <v>0</v>
      </c>
      <c r="D84" s="612"/>
      <c r="E84" s="612"/>
      <c r="F84" s="612"/>
      <c r="G84" s="613"/>
      <c r="H84" s="600"/>
    </row>
    <row r="85" spans="1:8">
      <c r="A85" s="637" t="s">
        <v>266</v>
      </c>
      <c r="B85" s="613" t="s">
        <v>160</v>
      </c>
      <c r="C85" s="587">
        <v>0</v>
      </c>
      <c r="D85" s="612"/>
      <c r="E85" s="612"/>
      <c r="F85" s="612"/>
      <c r="G85" s="613"/>
      <c r="H85" s="600"/>
    </row>
    <row r="86" spans="1:8">
      <c r="A86" s="638">
        <v>17</v>
      </c>
      <c r="B86" s="639" t="s">
        <v>191</v>
      </c>
      <c r="C86" s="591">
        <v>0</v>
      </c>
      <c r="D86" s="1405"/>
      <c r="E86" s="1405"/>
      <c r="F86" s="612"/>
      <c r="G86" s="610"/>
      <c r="H86" s="611"/>
    </row>
    <row r="87" spans="1:8">
      <c r="A87" s="638">
        <v>18</v>
      </c>
      <c r="B87" s="610" t="s">
        <v>267</v>
      </c>
      <c r="C87" s="589">
        <f>SUM(C88:C90)</f>
        <v>8550</v>
      </c>
      <c r="D87" s="1405"/>
      <c r="E87" s="1405"/>
      <c r="F87" s="612"/>
      <c r="G87" s="613"/>
      <c r="H87" s="600"/>
    </row>
    <row r="88" spans="1:8">
      <c r="A88" s="633" t="s">
        <v>268</v>
      </c>
      <c r="B88" s="642" t="s">
        <v>47</v>
      </c>
      <c r="C88" s="587">
        <v>1830</v>
      </c>
      <c r="D88" s="1405"/>
      <c r="E88" s="1405"/>
      <c r="F88" s="612"/>
      <c r="G88" s="613"/>
      <c r="H88" s="600"/>
    </row>
    <row r="89" spans="1:8">
      <c r="A89" s="633" t="s">
        <v>269</v>
      </c>
      <c r="B89" s="642" t="s">
        <v>48</v>
      </c>
      <c r="C89" s="587">
        <v>6720</v>
      </c>
      <c r="D89" s="1405"/>
      <c r="E89" s="1405"/>
      <c r="F89" s="612"/>
      <c r="G89" s="613"/>
      <c r="H89" s="600"/>
    </row>
    <row r="90" spans="1:8">
      <c r="A90" s="633" t="s">
        <v>270</v>
      </c>
      <c r="B90" s="642" t="s">
        <v>105</v>
      </c>
      <c r="C90" s="624">
        <v>0</v>
      </c>
      <c r="D90" s="1405"/>
      <c r="E90" s="1405"/>
      <c r="F90" s="612"/>
      <c r="G90" s="613"/>
      <c r="H90" s="600"/>
    </row>
    <row r="91" spans="1:8">
      <c r="A91" s="638">
        <v>19</v>
      </c>
      <c r="B91" s="613" t="s">
        <v>205</v>
      </c>
      <c r="C91" s="624">
        <v>4224</v>
      </c>
      <c r="D91" s="1405"/>
      <c r="E91" s="1405"/>
      <c r="F91" s="612"/>
      <c r="G91" s="613"/>
      <c r="H91" s="600"/>
    </row>
    <row r="92" spans="1:8" ht="25.5">
      <c r="A92" s="638">
        <v>20</v>
      </c>
      <c r="B92" s="641" t="s">
        <v>106</v>
      </c>
      <c r="C92" s="624">
        <v>210037</v>
      </c>
      <c r="D92" s="1405"/>
      <c r="E92" s="1405"/>
      <c r="F92" s="612"/>
      <c r="G92" s="613"/>
      <c r="H92" s="600"/>
    </row>
    <row r="93" spans="1:8">
      <c r="A93" s="638">
        <v>21</v>
      </c>
      <c r="B93" s="613" t="s">
        <v>103</v>
      </c>
      <c r="C93" s="624">
        <v>37638</v>
      </c>
      <c r="D93" s="1405"/>
      <c r="E93" s="1405"/>
      <c r="F93" s="612"/>
      <c r="G93" s="613"/>
      <c r="H93" s="600"/>
    </row>
    <row r="94" spans="1:8" ht="25.5">
      <c r="A94" s="638">
        <v>22</v>
      </c>
      <c r="B94" s="641" t="s">
        <v>107</v>
      </c>
      <c r="C94" s="643">
        <v>72581</v>
      </c>
      <c r="D94" s="1405"/>
      <c r="E94" s="1405"/>
      <c r="F94" s="644"/>
      <c r="G94" s="645"/>
      <c r="H94" s="608"/>
    </row>
    <row r="95" spans="1:8">
      <c r="A95" s="638">
        <v>23</v>
      </c>
      <c r="B95" s="641" t="s">
        <v>271</v>
      </c>
      <c r="C95" s="646">
        <f>SUM(C53,C76,C80,C86,C87,C91,C92,C93,C94)</f>
        <v>2518019</v>
      </c>
      <c r="D95" s="1405"/>
      <c r="E95" s="1405"/>
      <c r="F95" s="612"/>
      <c r="G95" s="613"/>
      <c r="H95" s="600"/>
    </row>
    <row r="96" spans="1:8">
      <c r="A96" s="637" t="s">
        <v>108</v>
      </c>
      <c r="B96" s="642" t="s">
        <v>49</v>
      </c>
      <c r="C96" s="624">
        <v>0</v>
      </c>
      <c r="D96" s="1405"/>
      <c r="E96" s="1405"/>
      <c r="F96" s="612"/>
      <c r="G96" s="613"/>
      <c r="H96" s="600"/>
    </row>
    <row r="97" spans="1:8">
      <c r="A97" s="638">
        <v>24</v>
      </c>
      <c r="B97" s="613" t="s">
        <v>272</v>
      </c>
      <c r="C97" s="643">
        <v>2518019</v>
      </c>
      <c r="D97" s="1405"/>
      <c r="E97" s="1405"/>
      <c r="F97" s="612"/>
      <c r="G97" s="613"/>
      <c r="H97" s="600"/>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769" t="s">
        <v>274</v>
      </c>
      <c r="C103" s="51">
        <v>4983</v>
      </c>
      <c r="D103" s="51">
        <v>1916</v>
      </c>
      <c r="E103" s="34">
        <v>496592</v>
      </c>
      <c r="F103" s="34"/>
      <c r="G103" s="10"/>
      <c r="H103" s="3"/>
    </row>
    <row r="104" spans="1:8">
      <c r="A104" s="25" t="s">
        <v>91</v>
      </c>
      <c r="B104" s="13" t="s">
        <v>53</v>
      </c>
      <c r="C104" s="51">
        <v>3650</v>
      </c>
      <c r="D104" s="51">
        <v>1189</v>
      </c>
      <c r="E104" s="34">
        <v>361294</v>
      </c>
      <c r="F104" s="34"/>
      <c r="G104" s="10"/>
      <c r="H104" s="3"/>
    </row>
    <row r="105" spans="1:8">
      <c r="A105" s="25" t="s">
        <v>194</v>
      </c>
      <c r="B105" s="35" t="s">
        <v>54</v>
      </c>
      <c r="C105" s="34">
        <v>2462</v>
      </c>
      <c r="D105" s="34">
        <v>1189</v>
      </c>
      <c r="E105" s="34" t="s">
        <v>201</v>
      </c>
      <c r="F105" s="34"/>
      <c r="G105" s="10"/>
      <c r="H105" s="3"/>
    </row>
    <row r="106" spans="1:8">
      <c r="A106" s="25" t="s">
        <v>195</v>
      </c>
      <c r="B106" s="35" t="s">
        <v>55</v>
      </c>
      <c r="C106" s="34">
        <v>1188</v>
      </c>
      <c r="D106" s="25">
        <v>0</v>
      </c>
      <c r="E106" s="34" t="s">
        <v>201</v>
      </c>
      <c r="F106" s="34"/>
      <c r="G106" s="10"/>
      <c r="H106" s="3"/>
    </row>
    <row r="107" spans="1:8">
      <c r="A107" s="25" t="s">
        <v>93</v>
      </c>
      <c r="B107" s="13" t="s">
        <v>56</v>
      </c>
      <c r="C107" s="34">
        <v>1</v>
      </c>
      <c r="D107" s="34">
        <v>0</v>
      </c>
      <c r="E107" s="34">
        <v>10284</v>
      </c>
      <c r="F107" s="34"/>
      <c r="G107" s="10"/>
      <c r="H107" s="3"/>
    </row>
    <row r="108" spans="1:8">
      <c r="A108" s="25" t="s">
        <v>275</v>
      </c>
      <c r="B108" s="13" t="s">
        <v>57</v>
      </c>
      <c r="C108" s="34">
        <v>76</v>
      </c>
      <c r="D108" s="34">
        <v>2</v>
      </c>
      <c r="E108" s="34">
        <v>6620</v>
      </c>
      <c r="F108" s="34"/>
      <c r="G108" s="10"/>
      <c r="H108" s="3"/>
    </row>
    <row r="109" spans="1:8">
      <c r="A109" s="25" t="s">
        <v>276</v>
      </c>
      <c r="B109" s="13" t="s">
        <v>58</v>
      </c>
      <c r="C109" s="34">
        <v>0</v>
      </c>
      <c r="D109" s="34">
        <v>0</v>
      </c>
      <c r="E109" s="34">
        <v>0</v>
      </c>
      <c r="F109" s="34"/>
      <c r="G109" s="10"/>
      <c r="H109" s="3"/>
    </row>
    <row r="110" spans="1:8">
      <c r="A110" s="27" t="s">
        <v>277</v>
      </c>
      <c r="B110" s="13" t="s">
        <v>139</v>
      </c>
      <c r="C110" s="51">
        <v>1261</v>
      </c>
      <c r="D110" s="51">
        <v>725</v>
      </c>
      <c r="E110" s="34">
        <v>118653</v>
      </c>
      <c r="F110" s="34"/>
      <c r="G110" s="10"/>
      <c r="H110" s="3"/>
    </row>
    <row r="111" spans="1:8">
      <c r="A111" s="30">
        <v>26</v>
      </c>
      <c r="B111" s="18" t="s">
        <v>278</v>
      </c>
      <c r="C111" s="34">
        <v>2869</v>
      </c>
      <c r="D111" s="34">
        <v>189</v>
      </c>
      <c r="E111" s="34">
        <v>331950</v>
      </c>
      <c r="F111" s="34"/>
      <c r="G111" s="10"/>
      <c r="H111" s="3"/>
    </row>
    <row r="112" spans="1:8">
      <c r="A112" s="25" t="s">
        <v>92</v>
      </c>
      <c r="B112" s="13" t="s">
        <v>59</v>
      </c>
      <c r="C112" s="34" t="s">
        <v>400</v>
      </c>
      <c r="D112" s="34" t="s">
        <v>400</v>
      </c>
      <c r="E112" s="34">
        <v>7267</v>
      </c>
      <c r="F112" s="34"/>
      <c r="G112" s="10"/>
      <c r="H112" s="3"/>
    </row>
    <row r="113" spans="1:8">
      <c r="A113" s="27" t="s">
        <v>94</v>
      </c>
      <c r="B113" s="13" t="s">
        <v>164</v>
      </c>
      <c r="C113" s="34" t="s">
        <v>400</v>
      </c>
      <c r="D113" s="34" t="s">
        <v>400</v>
      </c>
      <c r="E113" s="34">
        <v>350</v>
      </c>
      <c r="F113" s="34"/>
      <c r="G113" s="10"/>
      <c r="H113" s="3"/>
    </row>
    <row r="114" spans="1:8">
      <c r="A114" s="25"/>
      <c r="B114" s="13"/>
      <c r="C114" s="34"/>
      <c r="D114" s="34"/>
      <c r="E114" s="34"/>
      <c r="F114" s="34"/>
      <c r="G114" s="10"/>
      <c r="H114" s="3"/>
    </row>
    <row r="115" spans="1:8" ht="25.5">
      <c r="A115" s="36">
        <v>27</v>
      </c>
      <c r="B115" s="768" t="s">
        <v>279</v>
      </c>
      <c r="C115" s="51">
        <v>0</v>
      </c>
      <c r="D115" s="51">
        <v>5</v>
      </c>
      <c r="E115" s="34">
        <v>836</v>
      </c>
      <c r="F115" s="34"/>
      <c r="G115" s="10"/>
      <c r="H115" s="3"/>
    </row>
    <row r="116" spans="1:8">
      <c r="A116" s="30" t="s">
        <v>196</v>
      </c>
      <c r="B116" s="126" t="s">
        <v>280</v>
      </c>
      <c r="C116" s="52">
        <v>0</v>
      </c>
      <c r="D116" s="52">
        <v>5</v>
      </c>
      <c r="E116" s="25">
        <v>669</v>
      </c>
      <c r="F116" s="25"/>
      <c r="G116" s="10"/>
      <c r="H116" s="3"/>
    </row>
    <row r="117" spans="1:8">
      <c r="A117" s="25" t="s">
        <v>281</v>
      </c>
      <c r="B117" s="35" t="s">
        <v>124</v>
      </c>
      <c r="C117" s="25">
        <v>0</v>
      </c>
      <c r="D117" s="25">
        <v>5</v>
      </c>
      <c r="E117" s="25">
        <v>669</v>
      </c>
      <c r="F117" s="25"/>
      <c r="G117" s="10"/>
      <c r="H117" s="3"/>
    </row>
    <row r="118" spans="1:8">
      <c r="A118" s="25" t="s">
        <v>282</v>
      </c>
      <c r="B118" s="35" t="s">
        <v>125</v>
      </c>
      <c r="C118" s="25" t="s">
        <v>400</v>
      </c>
      <c r="D118" s="25" t="s">
        <v>400</v>
      </c>
      <c r="E118" s="34">
        <v>30977</v>
      </c>
      <c r="F118" s="25"/>
      <c r="G118" s="10"/>
      <c r="H118" s="3"/>
    </row>
    <row r="119" spans="1:8" ht="25.5">
      <c r="A119" s="30" t="s">
        <v>283</v>
      </c>
      <c r="B119" s="126" t="s">
        <v>284</v>
      </c>
      <c r="C119" s="52">
        <v>0</v>
      </c>
      <c r="D119" s="52">
        <v>0</v>
      </c>
      <c r="E119" s="34">
        <v>167</v>
      </c>
      <c r="F119" s="25"/>
      <c r="G119" s="10"/>
      <c r="H119" s="3"/>
    </row>
    <row r="120" spans="1:8">
      <c r="A120" s="25" t="s">
        <v>285</v>
      </c>
      <c r="B120" s="35" t="s">
        <v>126</v>
      </c>
      <c r="C120" s="25">
        <v>0</v>
      </c>
      <c r="D120" s="25">
        <v>0</v>
      </c>
      <c r="E120" s="25">
        <v>167</v>
      </c>
      <c r="F120" s="25"/>
      <c r="G120" s="10"/>
      <c r="H120" s="3"/>
    </row>
    <row r="121" spans="1:8">
      <c r="A121" s="27" t="s">
        <v>286</v>
      </c>
      <c r="B121" s="35" t="s">
        <v>287</v>
      </c>
      <c r="C121" s="25" t="s">
        <v>400</v>
      </c>
      <c r="D121" s="25" t="s">
        <v>400</v>
      </c>
      <c r="E121" s="34">
        <v>4793</v>
      </c>
      <c r="F121" s="25"/>
      <c r="G121" s="10"/>
      <c r="H121" s="3"/>
    </row>
    <row r="122" spans="1:8">
      <c r="A122" s="25" t="s">
        <v>288</v>
      </c>
      <c r="B122" s="35" t="s">
        <v>218</v>
      </c>
      <c r="C122" s="25" t="s">
        <v>400</v>
      </c>
      <c r="D122" s="25" t="s">
        <v>400</v>
      </c>
      <c r="E122" s="25">
        <v>461</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769" t="s">
        <v>289</v>
      </c>
      <c r="C125" s="52">
        <f>SUM(C126:C127)</f>
        <v>165</v>
      </c>
      <c r="D125" s="52">
        <f>SUM(D126:D127)</f>
        <v>8</v>
      </c>
      <c r="E125" s="52">
        <f>SUM(E126:E127)</f>
        <v>5527</v>
      </c>
      <c r="F125" s="25"/>
      <c r="G125" s="10"/>
      <c r="H125" s="3"/>
    </row>
    <row r="126" spans="1:8">
      <c r="A126" s="25" t="s">
        <v>127</v>
      </c>
      <c r="B126" s="24" t="s">
        <v>40</v>
      </c>
      <c r="C126" s="25">
        <v>38</v>
      </c>
      <c r="D126" s="25">
        <v>1</v>
      </c>
      <c r="E126" s="34">
        <v>2236</v>
      </c>
      <c r="F126" s="25"/>
      <c r="G126" s="10"/>
      <c r="H126" s="3"/>
    </row>
    <row r="127" spans="1:8">
      <c r="A127" s="25" t="s">
        <v>129</v>
      </c>
      <c r="B127" s="24" t="s">
        <v>41</v>
      </c>
      <c r="C127" s="25">
        <v>127</v>
      </c>
      <c r="D127" s="25">
        <v>7</v>
      </c>
      <c r="E127" s="34">
        <v>3291</v>
      </c>
      <c r="F127" s="25"/>
      <c r="G127" s="10"/>
      <c r="H127" s="3"/>
    </row>
    <row r="128" spans="1:8">
      <c r="A128" s="25"/>
      <c r="C128" s="25"/>
      <c r="D128" s="25"/>
      <c r="E128" s="25"/>
      <c r="F128" s="25"/>
      <c r="G128" s="10"/>
      <c r="H128" s="3"/>
    </row>
    <row r="129" spans="1:8">
      <c r="A129" s="30">
        <v>29</v>
      </c>
      <c r="B129" s="769" t="s">
        <v>290</v>
      </c>
      <c r="C129" s="25"/>
      <c r="D129" s="25"/>
      <c r="E129" s="25"/>
      <c r="F129" s="25"/>
      <c r="G129" s="10"/>
      <c r="H129" s="3"/>
    </row>
    <row r="130" spans="1:8">
      <c r="A130" s="30" t="s">
        <v>165</v>
      </c>
      <c r="B130" s="6" t="s">
        <v>37</v>
      </c>
      <c r="C130" s="25">
        <v>0</v>
      </c>
      <c r="D130" s="25">
        <v>0</v>
      </c>
      <c r="E130" s="34">
        <v>10171</v>
      </c>
      <c r="F130" s="25"/>
      <c r="G130" s="10"/>
      <c r="H130" s="3"/>
    </row>
    <row r="131" spans="1:8">
      <c r="A131" s="30" t="s">
        <v>166</v>
      </c>
      <c r="B131" s="769" t="s">
        <v>79</v>
      </c>
      <c r="C131" s="25">
        <v>0</v>
      </c>
      <c r="D131" s="25">
        <v>0</v>
      </c>
      <c r="E131" s="34">
        <v>1302</v>
      </c>
      <c r="F131" s="25"/>
      <c r="G131" s="10"/>
      <c r="H131" s="3"/>
    </row>
    <row r="132" spans="1:8">
      <c r="A132" s="254" t="s">
        <v>291</v>
      </c>
      <c r="B132" s="705" t="s">
        <v>222</v>
      </c>
      <c r="C132" s="251">
        <v>2</v>
      </c>
      <c r="D132" s="251">
        <v>0</v>
      </c>
      <c r="E132" s="213">
        <v>2572</v>
      </c>
      <c r="F132" s="254"/>
      <c r="G132" s="255"/>
      <c r="H132" s="122"/>
    </row>
    <row r="133" spans="1:8">
      <c r="A133" s="30" t="s">
        <v>292</v>
      </c>
      <c r="B133" s="29" t="s">
        <v>293</v>
      </c>
      <c r="C133" s="34">
        <v>6497</v>
      </c>
      <c r="D133" s="25">
        <v>0</v>
      </c>
      <c r="E133" s="34">
        <v>1042776</v>
      </c>
      <c r="F133" s="30"/>
      <c r="G133" s="6"/>
      <c r="H133" s="122"/>
    </row>
    <row r="134" spans="1:8">
      <c r="A134" s="30" t="s">
        <v>294</v>
      </c>
      <c r="B134" s="29" t="s">
        <v>223</v>
      </c>
      <c r="C134" s="25" t="s">
        <v>400</v>
      </c>
      <c r="D134" s="25" t="s">
        <v>400</v>
      </c>
      <c r="E134" s="25" t="s">
        <v>400</v>
      </c>
      <c r="F134" s="30"/>
      <c r="G134" s="6"/>
      <c r="H134" s="122"/>
    </row>
    <row r="135" spans="1:8">
      <c r="A135" s="30" t="s">
        <v>295</v>
      </c>
      <c r="B135" s="37" t="s">
        <v>224</v>
      </c>
      <c r="C135" s="34">
        <v>6497</v>
      </c>
      <c r="D135" s="25">
        <v>0</v>
      </c>
      <c r="E135" s="34">
        <v>1042776</v>
      </c>
      <c r="F135" s="30"/>
      <c r="G135" s="6"/>
      <c r="H135" s="122"/>
    </row>
    <row r="136" spans="1:8">
      <c r="A136" s="30" t="s">
        <v>296</v>
      </c>
      <c r="B136" s="37" t="s">
        <v>225</v>
      </c>
      <c r="C136" s="25">
        <v>0</v>
      </c>
      <c r="D136" s="25">
        <v>0</v>
      </c>
      <c r="E136" s="25">
        <v>0</v>
      </c>
      <c r="F136" s="30"/>
      <c r="G136" s="6"/>
      <c r="H136" s="122"/>
    </row>
    <row r="137" spans="1:8">
      <c r="A137" s="25"/>
      <c r="B137" s="6" t="s">
        <v>297</v>
      </c>
      <c r="C137" s="25"/>
      <c r="D137" s="25"/>
      <c r="E137" s="25"/>
      <c r="F137" s="25"/>
      <c r="G137" s="10"/>
      <c r="H137" s="3"/>
    </row>
    <row r="138" spans="1:8">
      <c r="A138" s="38" t="s">
        <v>298</v>
      </c>
      <c r="B138" s="37" t="s">
        <v>197</v>
      </c>
      <c r="C138" s="25">
        <v>0</v>
      </c>
      <c r="D138" s="25">
        <v>0</v>
      </c>
      <c r="E138" s="25">
        <v>1</v>
      </c>
      <c r="F138" s="30"/>
      <c r="G138" s="6"/>
      <c r="H138" s="122"/>
    </row>
    <row r="139" spans="1:8">
      <c r="A139" s="38" t="s">
        <v>299</v>
      </c>
      <c r="B139" s="37" t="s">
        <v>198</v>
      </c>
      <c r="C139" s="25">
        <v>0</v>
      </c>
      <c r="D139" s="25">
        <v>0</v>
      </c>
      <c r="E139" s="25">
        <v>260</v>
      </c>
      <c r="F139" s="30"/>
      <c r="G139" s="6"/>
      <c r="H139" s="122"/>
    </row>
    <row r="140" spans="1:8">
      <c r="A140" s="38" t="s">
        <v>300</v>
      </c>
      <c r="B140" s="37" t="s">
        <v>199</v>
      </c>
      <c r="C140" s="25">
        <v>0</v>
      </c>
      <c r="D140" s="25">
        <v>0</v>
      </c>
      <c r="E140" s="34">
        <v>8321</v>
      </c>
      <c r="F140" s="30"/>
      <c r="G140" s="6"/>
      <c r="H140" s="122"/>
    </row>
    <row r="141" spans="1:8">
      <c r="A141" s="38" t="s">
        <v>301</v>
      </c>
      <c r="B141" s="37" t="s">
        <v>200</v>
      </c>
      <c r="C141" s="30" t="s">
        <v>201</v>
      </c>
      <c r="D141" s="30" t="s">
        <v>201</v>
      </c>
      <c r="E141" s="30" t="s">
        <v>201</v>
      </c>
      <c r="F141" s="30"/>
      <c r="G141" s="6"/>
      <c r="H141" s="122"/>
    </row>
    <row r="142" spans="1:8">
      <c r="A142" s="30" t="s">
        <v>302</v>
      </c>
      <c r="B142" s="37" t="s">
        <v>220</v>
      </c>
      <c r="C142" s="25">
        <v>8</v>
      </c>
      <c r="D142" s="25">
        <v>0</v>
      </c>
      <c r="E142" s="25">
        <v>199</v>
      </c>
      <c r="F142" s="30"/>
      <c r="G142" s="6"/>
      <c r="H142" s="122"/>
    </row>
    <row r="143" spans="1:8">
      <c r="A143" s="30" t="s">
        <v>303</v>
      </c>
      <c r="B143" s="37" t="s">
        <v>221</v>
      </c>
      <c r="C143" s="25">
        <v>0</v>
      </c>
      <c r="D143" s="25">
        <v>0</v>
      </c>
      <c r="E143" s="25">
        <v>349</v>
      </c>
      <c r="F143" s="30"/>
      <c r="G143" s="10" t="s">
        <v>730</v>
      </c>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769" t="s">
        <v>304</v>
      </c>
      <c r="C147" s="53">
        <f>SUM(C148:C149)</f>
        <v>593470</v>
      </c>
    </row>
    <row r="148" spans="1:9">
      <c r="A148" s="27" t="s">
        <v>169</v>
      </c>
      <c r="B148" s="10" t="s">
        <v>167</v>
      </c>
      <c r="C148" s="170">
        <v>593470</v>
      </c>
    </row>
    <row r="149" spans="1:9">
      <c r="A149" s="27" t="s">
        <v>171</v>
      </c>
      <c r="B149" s="10" t="s">
        <v>168</v>
      </c>
      <c r="C149" s="9" t="s">
        <v>400</v>
      </c>
    </row>
    <row r="150" spans="1:9">
      <c r="A150" s="38">
        <v>31</v>
      </c>
      <c r="B150" s="768" t="s">
        <v>731</v>
      </c>
      <c r="C150" s="170"/>
    </row>
    <row r="151" spans="1:9">
      <c r="A151" s="706" t="s">
        <v>137</v>
      </c>
      <c r="B151" s="253" t="s">
        <v>170</v>
      </c>
      <c r="C151" s="707">
        <v>225083</v>
      </c>
    </row>
    <row r="152" spans="1:9">
      <c r="A152" s="706" t="s">
        <v>138</v>
      </c>
      <c r="B152" s="253" t="s">
        <v>172</v>
      </c>
      <c r="C152" s="707">
        <v>552983</v>
      </c>
    </row>
    <row r="153" spans="1:9">
      <c r="A153" s="27"/>
      <c r="B153" s="10"/>
      <c r="C153" s="9"/>
    </row>
    <row r="154" spans="1:9">
      <c r="A154" s="30"/>
      <c r="B154" s="1201" t="s">
        <v>306</v>
      </c>
      <c r="C154" s="1202"/>
    </row>
    <row r="155" spans="1:9">
      <c r="A155" s="30">
        <v>32</v>
      </c>
      <c r="B155" s="26" t="s">
        <v>307</v>
      </c>
      <c r="C155" s="52">
        <f>SUM(C156,C157,C163)</f>
        <v>66887</v>
      </c>
    </row>
    <row r="156" spans="1:9">
      <c r="A156" s="25" t="s">
        <v>308</v>
      </c>
      <c r="B156" s="28" t="s">
        <v>69</v>
      </c>
      <c r="C156" s="34">
        <v>53029</v>
      </c>
    </row>
    <row r="157" spans="1:9">
      <c r="A157" s="27" t="s">
        <v>309</v>
      </c>
      <c r="B157" s="28" t="s">
        <v>70</v>
      </c>
      <c r="C157" s="25" t="s">
        <v>400</v>
      </c>
    </row>
    <row r="158" spans="1:9">
      <c r="A158" s="30">
        <v>33</v>
      </c>
      <c r="B158" s="41" t="s">
        <v>71</v>
      </c>
      <c r="C158" s="34">
        <v>7198</v>
      </c>
    </row>
    <row r="159" spans="1:9">
      <c r="A159" s="30">
        <v>34</v>
      </c>
      <c r="B159" s="26" t="s">
        <v>310</v>
      </c>
      <c r="C159" s="52">
        <f>SUM(C160:C162)</f>
        <v>1295</v>
      </c>
    </row>
    <row r="160" spans="1:9">
      <c r="A160" s="25" t="s">
        <v>173</v>
      </c>
      <c r="B160" s="28" t="s">
        <v>72</v>
      </c>
      <c r="C160" s="25" t="s">
        <v>400</v>
      </c>
    </row>
    <row r="161" spans="1:7">
      <c r="A161" s="27" t="s">
        <v>175</v>
      </c>
      <c r="B161" s="28" t="s">
        <v>73</v>
      </c>
      <c r="C161" s="34">
        <v>1295</v>
      </c>
    </row>
    <row r="162" spans="1:7">
      <c r="A162" s="27" t="s">
        <v>177</v>
      </c>
      <c r="B162" s="28" t="s">
        <v>214</v>
      </c>
      <c r="C162" s="25" t="s">
        <v>400</v>
      </c>
    </row>
    <row r="163" spans="1:7">
      <c r="A163" s="23">
        <v>35</v>
      </c>
      <c r="B163" s="26" t="s">
        <v>311</v>
      </c>
      <c r="C163" s="52">
        <f>SUM(C164:C166)</f>
        <v>13858</v>
      </c>
    </row>
    <row r="164" spans="1:7">
      <c r="A164" s="39" t="s">
        <v>312</v>
      </c>
      <c r="B164" s="41" t="s">
        <v>174</v>
      </c>
      <c r="C164" s="34">
        <v>13858</v>
      </c>
    </row>
    <row r="165" spans="1:7">
      <c r="A165" s="27" t="s">
        <v>313</v>
      </c>
      <c r="B165" s="41" t="s">
        <v>176</v>
      </c>
      <c r="C165" s="25">
        <v>0</v>
      </c>
    </row>
    <row r="166" spans="1:7">
      <c r="A166" s="27" t="s">
        <v>314</v>
      </c>
      <c r="B166" s="41" t="s">
        <v>178</v>
      </c>
      <c r="C166" s="25" t="s">
        <v>400</v>
      </c>
    </row>
    <row r="168" spans="1:7">
      <c r="A168" s="708"/>
      <c r="B168" s="709" t="s">
        <v>87</v>
      </c>
      <c r="C168" s="710"/>
      <c r="D168" s="127"/>
      <c r="E168" s="130"/>
      <c r="F168" s="131"/>
    </row>
    <row r="169" spans="1:7">
      <c r="A169" s="708">
        <v>36</v>
      </c>
      <c r="B169" s="711" t="s">
        <v>74</v>
      </c>
      <c r="C169" s="712">
        <v>1624</v>
      </c>
      <c r="D169" s="134"/>
      <c r="E169" s="46"/>
      <c r="F169" s="46"/>
      <c r="G169" s="135"/>
    </row>
    <row r="170" spans="1:7">
      <c r="A170" s="708">
        <v>37</v>
      </c>
      <c r="B170" s="713" t="s">
        <v>75</v>
      </c>
      <c r="C170" s="714">
        <v>3197</v>
      </c>
      <c r="D170" s="134"/>
      <c r="E170" s="46"/>
      <c r="F170" s="46"/>
      <c r="G170" s="135"/>
    </row>
    <row r="171" spans="1:7">
      <c r="A171" s="708">
        <v>38</v>
      </c>
      <c r="B171" s="715" t="s">
        <v>315</v>
      </c>
      <c r="C171" s="716">
        <v>4821</v>
      </c>
      <c r="D171" s="137"/>
      <c r="E171" s="138"/>
      <c r="F171" s="138"/>
      <c r="G171" s="138"/>
    </row>
    <row r="172" spans="1:7">
      <c r="A172" s="717" t="s">
        <v>118</v>
      </c>
      <c r="B172" s="718" t="s">
        <v>208</v>
      </c>
      <c r="C172" s="712">
        <v>2367</v>
      </c>
      <c r="D172" s="134"/>
      <c r="E172" s="46"/>
      <c r="F172" s="46"/>
      <c r="G172" s="135"/>
    </row>
    <row r="173" spans="1:7">
      <c r="A173" s="717" t="s">
        <v>119</v>
      </c>
      <c r="B173" s="718" t="s">
        <v>209</v>
      </c>
      <c r="C173" s="719">
        <v>243</v>
      </c>
      <c r="D173" s="134"/>
      <c r="E173" s="46"/>
      <c r="F173" s="46"/>
      <c r="G173" s="135"/>
    </row>
    <row r="174" spans="1:7">
      <c r="A174" s="706" t="s">
        <v>120</v>
      </c>
      <c r="B174" s="718" t="s">
        <v>210</v>
      </c>
      <c r="C174" s="720">
        <v>2211</v>
      </c>
      <c r="D174" s="134"/>
      <c r="E174" s="46"/>
      <c r="F174" s="46"/>
      <c r="G174" s="135"/>
    </row>
    <row r="175" spans="1:7">
      <c r="A175" s="708">
        <v>39</v>
      </c>
      <c r="B175" s="715" t="s">
        <v>316</v>
      </c>
      <c r="C175" s="716">
        <v>3215</v>
      </c>
      <c r="D175" s="134"/>
      <c r="E175" s="46"/>
      <c r="F175" s="46"/>
      <c r="G175" s="135"/>
    </row>
    <row r="176" spans="1:7">
      <c r="A176" s="717" t="s">
        <v>317</v>
      </c>
      <c r="B176" s="718" t="s">
        <v>76</v>
      </c>
      <c r="C176" s="719">
        <v>888</v>
      </c>
      <c r="D176" s="134"/>
      <c r="E176" s="46"/>
      <c r="F176" s="46"/>
      <c r="G176" s="135"/>
    </row>
    <row r="177" spans="1:7">
      <c r="A177" s="717" t="s">
        <v>318</v>
      </c>
      <c r="B177" s="718" t="s">
        <v>77</v>
      </c>
      <c r="C177" s="719">
        <v>1</v>
      </c>
      <c r="D177" s="134"/>
      <c r="E177" s="46"/>
      <c r="F177" s="46"/>
      <c r="G177" s="135"/>
    </row>
    <row r="178" spans="1:7">
      <c r="A178" s="706" t="s">
        <v>319</v>
      </c>
      <c r="B178" s="718" t="s">
        <v>78</v>
      </c>
      <c r="C178" s="720">
        <v>2326</v>
      </c>
      <c r="D178" s="134"/>
      <c r="E178" s="46"/>
      <c r="F178" s="46"/>
      <c r="G178" s="135"/>
    </row>
    <row r="179" spans="1:7">
      <c r="A179" s="717"/>
      <c r="B179" s="718"/>
      <c r="C179" s="719"/>
      <c r="D179" s="134"/>
      <c r="E179" s="46"/>
      <c r="F179" s="46"/>
      <c r="G179" s="135"/>
    </row>
    <row r="180" spans="1:7" ht="25.5">
      <c r="A180" s="717"/>
      <c r="B180" s="721" t="s">
        <v>88</v>
      </c>
      <c r="C180" s="719"/>
      <c r="D180" s="134"/>
      <c r="E180" s="46"/>
      <c r="F180" s="46"/>
      <c r="G180" s="135"/>
    </row>
    <row r="181" spans="1:7">
      <c r="A181" s="708">
        <v>40</v>
      </c>
      <c r="B181" s="713" t="s">
        <v>74</v>
      </c>
      <c r="C181" s="720">
        <v>1008</v>
      </c>
      <c r="D181" s="134"/>
      <c r="E181" s="46"/>
      <c r="F181" s="46"/>
      <c r="G181" s="135"/>
    </row>
    <row r="182" spans="1:7">
      <c r="A182" s="708">
        <v>41</v>
      </c>
      <c r="B182" s="713" t="s">
        <v>75</v>
      </c>
      <c r="C182" s="720">
        <v>2545</v>
      </c>
      <c r="D182" s="134"/>
      <c r="E182" s="46"/>
      <c r="F182" s="46"/>
      <c r="G182" s="135"/>
    </row>
    <row r="183" spans="1:7">
      <c r="A183" s="708">
        <v>42</v>
      </c>
      <c r="B183" s="715" t="s">
        <v>320</v>
      </c>
      <c r="C183" s="716">
        <v>3553</v>
      </c>
      <c r="D183" s="134"/>
      <c r="E183" s="46"/>
      <c r="F183" s="46"/>
      <c r="G183" s="135"/>
    </row>
    <row r="184" spans="1:7">
      <c r="A184" s="717" t="s">
        <v>96</v>
      </c>
      <c r="B184" s="718" t="s">
        <v>211</v>
      </c>
      <c r="C184" s="714">
        <v>1770</v>
      </c>
      <c r="D184" s="134"/>
      <c r="E184" s="46"/>
      <c r="F184" s="46"/>
      <c r="G184" s="135"/>
    </row>
    <row r="185" spans="1:7">
      <c r="A185" s="717" t="s">
        <v>97</v>
      </c>
      <c r="B185" s="718" t="s">
        <v>212</v>
      </c>
      <c r="C185" s="719">
        <v>127</v>
      </c>
      <c r="D185" s="140"/>
      <c r="E185" s="141"/>
      <c r="F185" s="46"/>
      <c r="G185" s="135"/>
    </row>
    <row r="186" spans="1:7">
      <c r="A186" s="706" t="s">
        <v>98</v>
      </c>
      <c r="B186" s="718" t="s">
        <v>213</v>
      </c>
      <c r="C186" s="213">
        <v>1656</v>
      </c>
      <c r="D186" s="25"/>
      <c r="E186" s="25"/>
      <c r="F186" s="46"/>
    </row>
    <row r="187" spans="1:7">
      <c r="A187" s="708">
        <v>43</v>
      </c>
      <c r="B187" s="715" t="s">
        <v>321</v>
      </c>
      <c r="C187" s="716">
        <v>3730</v>
      </c>
      <c r="D187" s="25"/>
      <c r="E187" s="25"/>
      <c r="F187" s="46"/>
    </row>
    <row r="188" spans="1:7">
      <c r="A188" s="717" t="s">
        <v>100</v>
      </c>
      <c r="B188" s="718" t="s">
        <v>76</v>
      </c>
      <c r="C188" s="719">
        <v>252</v>
      </c>
      <c r="D188" s="25"/>
      <c r="E188" s="25"/>
      <c r="F188" s="46"/>
    </row>
    <row r="189" spans="1:7">
      <c r="A189" s="717" t="s">
        <v>101</v>
      </c>
      <c r="B189" s="718" t="s">
        <v>77</v>
      </c>
      <c r="C189" s="719">
        <v>9</v>
      </c>
      <c r="D189" s="25"/>
      <c r="E189" s="25"/>
      <c r="F189" s="46"/>
    </row>
    <row r="190" spans="1:7">
      <c r="A190" s="251" t="s">
        <v>102</v>
      </c>
      <c r="B190" s="722" t="s">
        <v>78</v>
      </c>
      <c r="C190" s="720">
        <v>3469</v>
      </c>
      <c r="D190" s="25"/>
      <c r="E190" s="25"/>
      <c r="F190" s="46"/>
    </row>
    <row r="191" spans="1:7">
      <c r="D191" s="142"/>
      <c r="E191" s="143"/>
    </row>
    <row r="192" spans="1:7">
      <c r="A192" s="25"/>
      <c r="B192" s="1117" t="s">
        <v>322</v>
      </c>
      <c r="C192" s="40" t="s">
        <v>90</v>
      </c>
      <c r="D192" s="1203" t="s">
        <v>81</v>
      </c>
      <c r="E192" s="1203"/>
      <c r="F192" s="131"/>
    </row>
    <row r="193" spans="1:6">
      <c r="A193" s="25"/>
      <c r="B193" s="10"/>
      <c r="C193" s="40"/>
      <c r="D193" s="43" t="s">
        <v>82</v>
      </c>
      <c r="E193" s="43" t="s">
        <v>83</v>
      </c>
      <c r="F193" s="144"/>
    </row>
    <row r="194" spans="1:6">
      <c r="A194" s="254">
        <v>44</v>
      </c>
      <c r="B194" s="255" t="s">
        <v>323</v>
      </c>
      <c r="C194" s="723">
        <v>145</v>
      </c>
      <c r="D194" s="724">
        <v>0</v>
      </c>
      <c r="E194" s="724">
        <f>SUM(E195:E197)</f>
        <v>0</v>
      </c>
      <c r="F194" s="145"/>
    </row>
    <row r="195" spans="1:6">
      <c r="A195" s="251" t="s">
        <v>121</v>
      </c>
      <c r="B195" s="722" t="s">
        <v>181</v>
      </c>
      <c r="C195" s="719">
        <v>141</v>
      </c>
      <c r="D195" s="251">
        <v>0</v>
      </c>
      <c r="E195" s="251">
        <v>0</v>
      </c>
      <c r="F195" s="46"/>
    </row>
    <row r="196" spans="1:6">
      <c r="A196" s="251" t="s">
        <v>122</v>
      </c>
      <c r="B196" s="722" t="s">
        <v>182</v>
      </c>
      <c r="C196" s="719">
        <v>0</v>
      </c>
      <c r="D196" s="251">
        <v>0</v>
      </c>
      <c r="E196" s="251">
        <v>0</v>
      </c>
      <c r="F196" s="46"/>
    </row>
    <row r="197" spans="1:6">
      <c r="A197" s="706" t="s">
        <v>123</v>
      </c>
      <c r="B197" s="722" t="s">
        <v>180</v>
      </c>
      <c r="C197" s="719">
        <v>4</v>
      </c>
      <c r="D197" s="251">
        <v>0</v>
      </c>
      <c r="E197" s="251">
        <v>0</v>
      </c>
      <c r="F197" s="46"/>
    </row>
    <row r="198" spans="1:6">
      <c r="A198" s="254">
        <v>45</v>
      </c>
      <c r="B198" s="255" t="s">
        <v>324</v>
      </c>
      <c r="C198" s="723">
        <v>3915</v>
      </c>
      <c r="D198" s="724">
        <f>SUM(D199:D201)</f>
        <v>0</v>
      </c>
      <c r="E198" s="724">
        <v>0</v>
      </c>
      <c r="F198" s="145"/>
    </row>
    <row r="199" spans="1:6">
      <c r="A199" s="251" t="s">
        <v>325</v>
      </c>
      <c r="B199" s="722" t="s">
        <v>80</v>
      </c>
      <c r="C199" s="719">
        <v>3710</v>
      </c>
      <c r="D199" s="251">
        <v>0</v>
      </c>
      <c r="E199" s="251">
        <v>0</v>
      </c>
      <c r="F199" s="46"/>
    </row>
    <row r="200" spans="1:6">
      <c r="A200" s="251" t="s">
        <v>326</v>
      </c>
      <c r="B200" s="722" t="s">
        <v>60</v>
      </c>
      <c r="C200" s="719">
        <v>0</v>
      </c>
      <c r="D200" s="251">
        <v>0</v>
      </c>
      <c r="E200" s="251">
        <v>0</v>
      </c>
      <c r="F200" s="46"/>
    </row>
    <row r="201" spans="1:6">
      <c r="A201" s="706" t="s">
        <v>327</v>
      </c>
      <c r="B201" s="722" t="s">
        <v>180</v>
      </c>
      <c r="C201" s="719">
        <v>205</v>
      </c>
      <c r="D201" s="251">
        <v>0</v>
      </c>
      <c r="E201" s="251">
        <v>0</v>
      </c>
      <c r="F201" s="46"/>
    </row>
    <row r="202" spans="1:6">
      <c r="A202" s="725"/>
      <c r="B202" s="726"/>
      <c r="C202" s="727"/>
      <c r="D202" s="728"/>
      <c r="E202" s="729"/>
      <c r="F202" s="46"/>
    </row>
    <row r="203" spans="1:6">
      <c r="A203" s="254">
        <v>46</v>
      </c>
      <c r="B203" s="253" t="s">
        <v>203</v>
      </c>
      <c r="C203" s="719">
        <v>54</v>
      </c>
      <c r="D203" s="251">
        <v>0</v>
      </c>
      <c r="E203" s="251">
        <v>56</v>
      </c>
      <c r="F203" s="46"/>
    </row>
    <row r="204" spans="1:6">
      <c r="A204" s="254">
        <v>47</v>
      </c>
      <c r="B204" s="730" t="s">
        <v>204</v>
      </c>
      <c r="C204" s="719">
        <v>51</v>
      </c>
      <c r="D204" s="251">
        <v>0</v>
      </c>
      <c r="E204" s="251">
        <v>52</v>
      </c>
      <c r="F204" s="46"/>
    </row>
    <row r="205" spans="1:6">
      <c r="A205" s="254">
        <v>48</v>
      </c>
      <c r="B205" s="253" t="s">
        <v>179</v>
      </c>
      <c r="C205" s="719">
        <v>4</v>
      </c>
      <c r="D205" s="251">
        <v>0</v>
      </c>
      <c r="E205" s="251">
        <v>1</v>
      </c>
      <c r="F205" s="46"/>
    </row>
    <row r="206" spans="1:6">
      <c r="A206" s="254">
        <v>49</v>
      </c>
      <c r="B206" s="253" t="s">
        <v>61</v>
      </c>
      <c r="C206" s="719">
        <v>133</v>
      </c>
      <c r="D206" s="251">
        <v>0</v>
      </c>
      <c r="E206" s="251">
        <v>15</v>
      </c>
      <c r="F206" s="46"/>
    </row>
    <row r="207" spans="1:6">
      <c r="A207" s="148">
        <v>50</v>
      </c>
      <c r="B207" s="48" t="s">
        <v>202</v>
      </c>
      <c r="C207" s="4">
        <v>33</v>
      </c>
      <c r="D207" s="133">
        <v>0</v>
      </c>
      <c r="E207" s="731">
        <v>0</v>
      </c>
      <c r="F207" s="47"/>
    </row>
    <row r="208" spans="1:6">
      <c r="A208" s="47"/>
      <c r="B208" s="151"/>
      <c r="C208" s="47"/>
      <c r="D208" s="47"/>
      <c r="E208" s="47"/>
      <c r="F208" s="47"/>
    </row>
    <row r="209" spans="1:6">
      <c r="A209" s="732"/>
      <c r="B209" s="255" t="s">
        <v>364</v>
      </c>
      <c r="C209" s="732"/>
      <c r="D209" s="732"/>
      <c r="E209" s="732"/>
      <c r="F209" s="47"/>
    </row>
    <row r="210" spans="1:6">
      <c r="A210" s="733" t="s">
        <v>86</v>
      </c>
      <c r="B210" s="727" t="s">
        <v>8</v>
      </c>
      <c r="C210" s="734" t="s">
        <v>50</v>
      </c>
      <c r="D210" s="734" t="s">
        <v>51</v>
      </c>
      <c r="E210" s="734" t="s">
        <v>110</v>
      </c>
      <c r="F210" s="47"/>
    </row>
    <row r="211" spans="1:6" s="1" customFormat="1">
      <c r="A211" s="257">
        <v>51</v>
      </c>
      <c r="B211" s="255" t="s">
        <v>328</v>
      </c>
      <c r="C211" s="724">
        <v>20</v>
      </c>
      <c r="D211" s="724">
        <v>0</v>
      </c>
      <c r="E211" s="734">
        <v>100</v>
      </c>
      <c r="F211" s="10"/>
    </row>
    <row r="212" spans="1:6" s="1" customFormat="1">
      <c r="A212" s="706" t="s">
        <v>329</v>
      </c>
      <c r="B212" s="722" t="s">
        <v>226</v>
      </c>
      <c r="C212" s="734">
        <v>0</v>
      </c>
      <c r="D212" s="734">
        <v>0</v>
      </c>
      <c r="E212" s="734">
        <v>59</v>
      </c>
      <c r="F212" s="10"/>
    </row>
    <row r="213" spans="1:6" s="1" customFormat="1">
      <c r="A213" s="706" t="s">
        <v>330</v>
      </c>
      <c r="B213" s="735" t="s">
        <v>128</v>
      </c>
      <c r="C213" s="734">
        <v>0</v>
      </c>
      <c r="D213" s="734">
        <v>0</v>
      </c>
      <c r="E213" s="734">
        <v>46</v>
      </c>
      <c r="F213" s="10"/>
    </row>
    <row r="214" spans="1:6" s="1" customFormat="1">
      <c r="A214" s="706" t="s">
        <v>331</v>
      </c>
      <c r="B214" s="722" t="s">
        <v>227</v>
      </c>
      <c r="C214" s="734">
        <v>14</v>
      </c>
      <c r="D214" s="734">
        <v>0</v>
      </c>
      <c r="E214" s="734">
        <v>14</v>
      </c>
      <c r="F214" s="10"/>
    </row>
    <row r="215" spans="1:6" s="1" customFormat="1">
      <c r="A215" s="706" t="s">
        <v>332</v>
      </c>
      <c r="B215" s="735" t="s">
        <v>130</v>
      </c>
      <c r="C215" s="734">
        <v>14</v>
      </c>
      <c r="D215" s="734">
        <v>0</v>
      </c>
      <c r="E215" s="734">
        <v>14</v>
      </c>
      <c r="F215" s="10"/>
    </row>
    <row r="216" spans="1:6" s="1" customFormat="1">
      <c r="A216" s="706" t="s">
        <v>333</v>
      </c>
      <c r="B216" s="722" t="s">
        <v>232</v>
      </c>
      <c r="C216" s="734">
        <v>0</v>
      </c>
      <c r="D216" s="734">
        <v>0</v>
      </c>
      <c r="E216" s="734">
        <v>0</v>
      </c>
      <c r="F216" s="10"/>
    </row>
    <row r="217" spans="1:6" s="1" customFormat="1">
      <c r="A217" s="706" t="s">
        <v>334</v>
      </c>
      <c r="B217" s="735" t="s">
        <v>131</v>
      </c>
      <c r="C217" s="734">
        <v>0</v>
      </c>
      <c r="D217" s="734">
        <v>0</v>
      </c>
      <c r="E217" s="734">
        <v>0</v>
      </c>
      <c r="F217" s="10"/>
    </row>
    <row r="218" spans="1:6" s="1" customFormat="1">
      <c r="A218" s="706" t="s">
        <v>335</v>
      </c>
      <c r="B218" s="722" t="s">
        <v>233</v>
      </c>
      <c r="C218" s="734">
        <v>0</v>
      </c>
      <c r="D218" s="734">
        <v>0</v>
      </c>
      <c r="E218" s="734">
        <v>12</v>
      </c>
      <c r="F218" s="10"/>
    </row>
    <row r="219" spans="1:6" s="1" customFormat="1">
      <c r="A219" s="706" t="s">
        <v>336</v>
      </c>
      <c r="B219" s="735" t="s">
        <v>132</v>
      </c>
      <c r="C219" s="734">
        <v>0</v>
      </c>
      <c r="D219" s="734">
        <v>0</v>
      </c>
      <c r="E219" s="734">
        <v>0</v>
      </c>
      <c r="F219" s="10"/>
    </row>
    <row r="220" spans="1:6" s="1" customFormat="1">
      <c r="A220" s="706" t="s">
        <v>337</v>
      </c>
      <c r="B220" s="722" t="s">
        <v>234</v>
      </c>
      <c r="C220" s="734">
        <v>0</v>
      </c>
      <c r="D220" s="734">
        <v>0</v>
      </c>
      <c r="E220" s="734">
        <v>9</v>
      </c>
      <c r="F220" s="10"/>
    </row>
    <row r="221" spans="1:6" s="1" customFormat="1">
      <c r="A221" s="706" t="s">
        <v>338</v>
      </c>
      <c r="B221" s="735" t="s">
        <v>133</v>
      </c>
      <c r="C221" s="734">
        <v>0</v>
      </c>
      <c r="D221" s="734">
        <v>0</v>
      </c>
      <c r="E221" s="734">
        <v>3</v>
      </c>
      <c r="F221" s="10"/>
    </row>
    <row r="222" spans="1:6" s="1" customFormat="1">
      <c r="A222" s="706" t="s">
        <v>339</v>
      </c>
      <c r="B222" s="722" t="s">
        <v>235</v>
      </c>
      <c r="C222" s="734">
        <v>0</v>
      </c>
      <c r="D222" s="734">
        <v>0</v>
      </c>
      <c r="E222" s="734">
        <v>0</v>
      </c>
      <c r="F222" s="10"/>
    </row>
    <row r="223" spans="1:6" s="1" customFormat="1">
      <c r="A223" s="706" t="s">
        <v>340</v>
      </c>
      <c r="B223" s="735" t="s">
        <v>134</v>
      </c>
      <c r="C223" s="734">
        <v>0</v>
      </c>
      <c r="D223" s="734">
        <v>0</v>
      </c>
      <c r="E223" s="734">
        <v>0</v>
      </c>
      <c r="F223" s="10"/>
    </row>
    <row r="224" spans="1:6" s="1" customFormat="1">
      <c r="A224" s="706" t="s">
        <v>341</v>
      </c>
      <c r="B224" s="722" t="s">
        <v>236</v>
      </c>
      <c r="C224" s="734">
        <v>0</v>
      </c>
      <c r="D224" s="734">
        <v>0</v>
      </c>
      <c r="E224" s="734">
        <v>0</v>
      </c>
      <c r="F224" s="10"/>
    </row>
    <row r="225" spans="1:8" s="1" customFormat="1">
      <c r="A225" s="706" t="s">
        <v>342</v>
      </c>
      <c r="B225" s="735" t="s">
        <v>135</v>
      </c>
      <c r="C225" s="734">
        <v>0</v>
      </c>
      <c r="D225" s="734">
        <v>0</v>
      </c>
      <c r="E225" s="734">
        <v>0</v>
      </c>
      <c r="F225" s="10"/>
    </row>
    <row r="226" spans="1:8" s="1" customFormat="1">
      <c r="A226" s="706" t="s">
        <v>343</v>
      </c>
      <c r="B226" s="722" t="s">
        <v>237</v>
      </c>
      <c r="C226" s="734">
        <v>6</v>
      </c>
      <c r="D226" s="734">
        <v>0</v>
      </c>
      <c r="E226" s="734">
        <v>6</v>
      </c>
      <c r="F226" s="10"/>
    </row>
    <row r="227" spans="1:8" s="1" customFormat="1" ht="25.5">
      <c r="A227" s="706" t="s">
        <v>344</v>
      </c>
      <c r="B227" s="736" t="s">
        <v>136</v>
      </c>
      <c r="C227" s="734">
        <v>0</v>
      </c>
      <c r="D227" s="734">
        <v>0</v>
      </c>
      <c r="E227" s="734">
        <v>0</v>
      </c>
      <c r="F227" s="10"/>
    </row>
    <row r="228" spans="1:8">
      <c r="A228" s="732"/>
      <c r="B228" s="737"/>
      <c r="C228" s="732"/>
      <c r="D228" s="732"/>
      <c r="E228" s="732"/>
      <c r="F228" s="47"/>
    </row>
    <row r="229" spans="1:8">
      <c r="A229" s="254"/>
      <c r="B229" s="738" t="s">
        <v>345</v>
      </c>
      <c r="C229" s="735"/>
      <c r="D229" s="739"/>
      <c r="E229" s="739"/>
      <c r="F229" s="154"/>
    </row>
    <row r="230" spans="1:8">
      <c r="A230" s="706" t="s">
        <v>346</v>
      </c>
      <c r="B230" s="740" t="s">
        <v>238</v>
      </c>
      <c r="C230" s="741">
        <v>25234</v>
      </c>
      <c r="D230" s="732"/>
      <c r="E230" s="732"/>
      <c r="F230" s="47"/>
    </row>
    <row r="231" spans="1:8">
      <c r="A231" s="706" t="s">
        <v>347</v>
      </c>
      <c r="B231" s="736" t="s">
        <v>115</v>
      </c>
      <c r="C231" s="251">
        <v>0</v>
      </c>
      <c r="D231" s="732"/>
      <c r="E231" s="732"/>
      <c r="F231" s="47"/>
    </row>
    <row r="232" spans="1:8" ht="25.5">
      <c r="A232" s="706" t="s">
        <v>348</v>
      </c>
      <c r="B232" s="740" t="s">
        <v>239</v>
      </c>
      <c r="C232" s="251">
        <v>0</v>
      </c>
      <c r="D232" s="732"/>
      <c r="E232" s="732"/>
      <c r="F232" s="47"/>
    </row>
    <row r="233" spans="1:8">
      <c r="A233" s="706" t="s">
        <v>349</v>
      </c>
      <c r="B233" s="736" t="s">
        <v>116</v>
      </c>
      <c r="C233" s="251">
        <v>0</v>
      </c>
      <c r="D233" s="732"/>
      <c r="E233" s="732"/>
      <c r="F233" s="47"/>
    </row>
    <row r="234" spans="1:8" ht="25.5">
      <c r="A234" s="706" t="s">
        <v>350</v>
      </c>
      <c r="B234" s="740" t="s">
        <v>240</v>
      </c>
      <c r="C234" s="213">
        <v>31012</v>
      </c>
      <c r="D234" s="732"/>
      <c r="E234" s="732"/>
      <c r="F234" s="47"/>
    </row>
    <row r="235" spans="1:8">
      <c r="A235" s="706" t="s">
        <v>351</v>
      </c>
      <c r="B235" s="736" t="s">
        <v>117</v>
      </c>
      <c r="C235" s="251">
        <v>0</v>
      </c>
      <c r="D235" s="732"/>
      <c r="E235" s="732"/>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76</v>
      </c>
      <c r="D239" s="25"/>
      <c r="E239" s="40"/>
      <c r="F239" s="40"/>
      <c r="G239" s="10"/>
      <c r="H239" s="3"/>
    </row>
    <row r="240" spans="1:8">
      <c r="A240" s="30">
        <v>53</v>
      </c>
      <c r="B240" s="10" t="s">
        <v>63</v>
      </c>
      <c r="C240" s="34">
        <v>8732</v>
      </c>
      <c r="D240" s="25"/>
      <c r="E240" s="40"/>
      <c r="F240" s="40"/>
      <c r="G240" s="10"/>
      <c r="H240" s="3"/>
    </row>
    <row r="241" spans="1:10">
      <c r="A241" s="30">
        <v>54</v>
      </c>
      <c r="B241" s="10" t="s">
        <v>215</v>
      </c>
      <c r="C241" s="25">
        <v>59</v>
      </c>
      <c r="D241" s="25"/>
      <c r="E241" s="40"/>
      <c r="F241" s="40"/>
      <c r="G241" s="10"/>
      <c r="H241" s="3"/>
    </row>
    <row r="242" spans="1:10">
      <c r="A242" s="30"/>
      <c r="B242" s="10"/>
      <c r="C242" s="25"/>
      <c r="D242" s="25"/>
      <c r="E242" s="40"/>
      <c r="F242" s="40"/>
      <c r="G242" s="10"/>
      <c r="H242" s="3"/>
    </row>
    <row r="243" spans="1:10">
      <c r="A243" s="254"/>
      <c r="B243" s="253"/>
      <c r="C243" s="251" t="s">
        <v>140</v>
      </c>
      <c r="D243" s="251" t="s">
        <v>141</v>
      </c>
      <c r="E243" s="719" t="s">
        <v>142</v>
      </c>
      <c r="F243" s="251" t="s">
        <v>143</v>
      </c>
      <c r="G243" s="742" t="s">
        <v>732</v>
      </c>
      <c r="H243" s="160"/>
    </row>
    <row r="244" spans="1:10">
      <c r="A244" s="254"/>
      <c r="B244" s="253"/>
      <c r="C244" s="251"/>
      <c r="D244" s="251"/>
      <c r="E244" s="719"/>
      <c r="F244" s="719"/>
      <c r="G244" s="254" t="s">
        <v>733</v>
      </c>
      <c r="H244" s="160"/>
    </row>
    <row r="245" spans="1:10">
      <c r="A245" s="254">
        <v>55</v>
      </c>
      <c r="B245" s="255" t="s">
        <v>541</v>
      </c>
      <c r="C245" s="724">
        <f>SUM(C246:C251)</f>
        <v>21</v>
      </c>
      <c r="D245" s="724">
        <f>SUM(D246:D251)</f>
        <v>524</v>
      </c>
      <c r="E245" s="723">
        <f>SUM(E246:E251)</f>
        <v>93</v>
      </c>
      <c r="F245" s="723">
        <f>SUM(F246:F251)</f>
        <v>42</v>
      </c>
      <c r="G245" s="724">
        <f>SUM(C245:F245)</f>
        <v>680</v>
      </c>
      <c r="H245" s="145"/>
    </row>
    <row r="246" spans="1:10">
      <c r="A246" s="251" t="s">
        <v>353</v>
      </c>
      <c r="B246" s="722" t="s">
        <v>64</v>
      </c>
      <c r="C246" s="251">
        <v>18</v>
      </c>
      <c r="D246" s="251">
        <v>35</v>
      </c>
      <c r="E246" s="719">
        <v>82</v>
      </c>
      <c r="F246" s="719">
        <v>39</v>
      </c>
      <c r="G246" s="253">
        <v>174</v>
      </c>
      <c r="H246" s="3"/>
      <c r="J246" s="25"/>
    </row>
    <row r="247" spans="1:10">
      <c r="A247" s="706" t="s">
        <v>354</v>
      </c>
      <c r="B247" s="722" t="s">
        <v>65</v>
      </c>
      <c r="C247" s="251">
        <v>0</v>
      </c>
      <c r="D247" s="251">
        <v>0</v>
      </c>
      <c r="E247" s="719">
        <v>0</v>
      </c>
      <c r="F247" s="719">
        <v>0</v>
      </c>
      <c r="G247" s="253">
        <v>0</v>
      </c>
      <c r="H247" s="3"/>
    </row>
    <row r="248" spans="1:10">
      <c r="A248" s="706" t="s">
        <v>355</v>
      </c>
      <c r="B248" s="722" t="s">
        <v>66</v>
      </c>
      <c r="C248" s="251">
        <v>0</v>
      </c>
      <c r="D248" s="251">
        <v>0</v>
      </c>
      <c r="E248" s="719">
        <v>5</v>
      </c>
      <c r="F248" s="719">
        <v>1</v>
      </c>
      <c r="G248" s="253">
        <v>6</v>
      </c>
      <c r="H248" s="3"/>
    </row>
    <row r="249" spans="1:10">
      <c r="A249" s="706" t="s">
        <v>356</v>
      </c>
      <c r="B249" s="722" t="s">
        <v>67</v>
      </c>
      <c r="C249" s="251">
        <v>3</v>
      </c>
      <c r="D249" s="251">
        <v>0</v>
      </c>
      <c r="E249" s="719">
        <v>4</v>
      </c>
      <c r="F249" s="719">
        <v>2</v>
      </c>
      <c r="G249" s="253">
        <v>9</v>
      </c>
      <c r="H249" s="3"/>
    </row>
    <row r="250" spans="1:10">
      <c r="A250" s="251" t="s">
        <v>357</v>
      </c>
      <c r="B250" s="722" t="s">
        <v>68</v>
      </c>
      <c r="C250" s="251">
        <v>0</v>
      </c>
      <c r="D250" s="251">
        <v>0</v>
      </c>
      <c r="E250" s="719">
        <v>2</v>
      </c>
      <c r="F250" s="719">
        <v>0</v>
      </c>
      <c r="G250" s="253">
        <v>2</v>
      </c>
      <c r="H250" s="3"/>
    </row>
    <row r="251" spans="1:10">
      <c r="A251" s="706" t="s">
        <v>358</v>
      </c>
      <c r="B251" s="740" t="s">
        <v>183</v>
      </c>
      <c r="C251" s="251" t="s">
        <v>400</v>
      </c>
      <c r="D251" s="251">
        <v>489</v>
      </c>
      <c r="E251" s="719">
        <v>0</v>
      </c>
      <c r="F251" s="719">
        <v>0</v>
      </c>
      <c r="G251" s="253">
        <v>489</v>
      </c>
      <c r="H251" s="3"/>
    </row>
    <row r="252" spans="1:10" ht="15">
      <c r="B252" s="161"/>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J251"/>
  <sheetViews>
    <sheetView topLeftCell="A23" workbookViewId="0">
      <selection activeCell="D38" sqref="D38:E38"/>
    </sheetView>
  </sheetViews>
  <sheetFormatPr defaultRowHeight="12.75"/>
  <cols>
    <col min="1" max="1" width="19.42578125" customWidth="1"/>
    <col min="2" max="2" width="63" customWidth="1"/>
    <col min="3" max="3" width="19.28515625" customWidth="1"/>
    <col min="4" max="4" width="18.5703125" customWidth="1"/>
    <col min="5" max="5" width="16.140625" customWidth="1"/>
    <col min="6" max="6" width="14.28515625" customWidth="1"/>
    <col min="7" max="7" width="18.85546875" customWidth="1"/>
  </cols>
  <sheetData>
    <row r="1" spans="1:8" ht="18">
      <c r="A1" s="852"/>
      <c r="B1" s="853" t="s">
        <v>241</v>
      </c>
      <c r="C1" s="853"/>
      <c r="D1" s="949" t="s">
        <v>393</v>
      </c>
      <c r="E1" s="854"/>
      <c r="F1" s="854"/>
      <c r="G1" s="853"/>
      <c r="H1" s="855"/>
    </row>
    <row r="2" spans="1:8">
      <c r="A2" s="856"/>
      <c r="B2" s="855"/>
      <c r="C2" s="856"/>
      <c r="D2" s="856"/>
      <c r="E2" s="856"/>
      <c r="F2" s="856"/>
      <c r="G2" s="855"/>
      <c r="H2" s="855"/>
    </row>
    <row r="3" spans="1:8" ht="15.75">
      <c r="A3" s="857" t="s">
        <v>161</v>
      </c>
      <c r="B3" s="858" t="s">
        <v>750</v>
      </c>
      <c r="C3" s="859"/>
      <c r="D3" s="860" t="s">
        <v>185</v>
      </c>
      <c r="E3" s="859"/>
      <c r="F3" s="859"/>
      <c r="G3" s="855"/>
      <c r="H3" s="855"/>
    </row>
    <row r="4" spans="1:8">
      <c r="A4" s="856"/>
      <c r="B4" s="855"/>
      <c r="C4" s="856"/>
      <c r="D4" s="856"/>
      <c r="E4" s="856"/>
      <c r="F4" s="856"/>
      <c r="G4" s="855"/>
      <c r="H4" s="855"/>
    </row>
    <row r="5" spans="1:8">
      <c r="A5" s="1237" t="s">
        <v>189</v>
      </c>
      <c r="B5" s="858" t="s">
        <v>765</v>
      </c>
      <c r="C5" s="859"/>
      <c r="D5" s="861" t="s">
        <v>186</v>
      </c>
      <c r="E5" s="859"/>
      <c r="F5" s="859"/>
      <c r="G5" s="855"/>
      <c r="H5" s="855"/>
    </row>
    <row r="6" spans="1:8">
      <c r="A6" s="1237"/>
      <c r="B6" s="859"/>
      <c r="C6" s="856"/>
      <c r="D6" s="862" t="s">
        <v>187</v>
      </c>
      <c r="E6" s="856"/>
      <c r="F6" s="856"/>
      <c r="G6" s="855"/>
      <c r="H6" s="855"/>
    </row>
    <row r="7" spans="1:8">
      <c r="A7" s="1237" t="s">
        <v>184</v>
      </c>
      <c r="B7" s="858" t="s">
        <v>766</v>
      </c>
      <c r="C7" s="859"/>
      <c r="D7" s="859"/>
      <c r="E7" s="859"/>
      <c r="F7" s="859"/>
      <c r="G7" s="855"/>
      <c r="H7" s="855"/>
    </row>
    <row r="8" spans="1:8">
      <c r="A8" s="1237"/>
      <c r="B8" s="855"/>
      <c r="C8" s="859"/>
      <c r="D8" s="862" t="s">
        <v>188</v>
      </c>
      <c r="E8" s="856"/>
      <c r="F8" s="856"/>
      <c r="G8" s="855"/>
      <c r="H8" s="855"/>
    </row>
    <row r="9" spans="1:8">
      <c r="A9" s="863" t="s">
        <v>190</v>
      </c>
      <c r="B9" s="950" t="s">
        <v>767</v>
      </c>
      <c r="C9" s="859"/>
      <c r="D9" s="856"/>
      <c r="E9" s="856"/>
      <c r="F9" s="856"/>
      <c r="G9" s="855"/>
      <c r="H9" s="855"/>
    </row>
    <row r="10" spans="1:8">
      <c r="A10" s="854"/>
      <c r="B10" s="855"/>
      <c r="C10" s="856"/>
      <c r="D10" s="864" t="s">
        <v>242</v>
      </c>
      <c r="E10" s="856"/>
      <c r="F10" s="865"/>
      <c r="G10" s="855"/>
      <c r="H10" s="855"/>
    </row>
    <row r="11" spans="1:8">
      <c r="A11" s="866" t="s">
        <v>162</v>
      </c>
      <c r="B11" s="858" t="s">
        <v>768</v>
      </c>
      <c r="C11" s="859"/>
      <c r="D11" s="856"/>
      <c r="E11" s="856"/>
      <c r="F11" s="856"/>
      <c r="G11" s="855"/>
      <c r="H11" s="855"/>
    </row>
    <row r="12" spans="1:8">
      <c r="A12" s="856"/>
      <c r="B12" s="855"/>
      <c r="C12" s="856"/>
      <c r="D12" s="854"/>
      <c r="E12" s="856"/>
      <c r="F12" s="856"/>
      <c r="G12" s="855"/>
      <c r="H12" s="855"/>
    </row>
    <row r="13" spans="1:8">
      <c r="A13" s="1238" t="s">
        <v>163</v>
      </c>
      <c r="B13" s="858" t="s">
        <v>769</v>
      </c>
      <c r="C13" s="859"/>
      <c r="D13" s="859"/>
      <c r="E13" s="856"/>
      <c r="F13" s="856"/>
      <c r="G13" s="855"/>
      <c r="H13" s="855"/>
    </row>
    <row r="14" spans="1:8">
      <c r="A14" s="1238"/>
      <c r="B14" s="855"/>
      <c r="C14" s="855"/>
      <c r="D14" s="855"/>
      <c r="E14" s="855"/>
      <c r="F14" s="855"/>
      <c r="G14" s="855"/>
      <c r="H14" s="855"/>
    </row>
    <row r="16" spans="1:8" ht="13.5">
      <c r="A16" s="1239" t="s">
        <v>359</v>
      </c>
      <c r="B16" s="1240"/>
      <c r="C16" s="1241"/>
      <c r="D16" s="1241"/>
      <c r="E16" s="1241"/>
      <c r="F16" s="1241"/>
      <c r="G16" s="1242"/>
      <c r="H16" s="867"/>
    </row>
    <row r="17" spans="1:8">
      <c r="A17" s="798" t="s">
        <v>86</v>
      </c>
      <c r="B17" s="798" t="s">
        <v>8</v>
      </c>
      <c r="C17" s="798" t="s">
        <v>0</v>
      </c>
      <c r="D17" s="1243" t="s">
        <v>149</v>
      </c>
      <c r="E17" s="1243"/>
      <c r="F17" s="868"/>
      <c r="G17" s="869"/>
      <c r="H17" s="870"/>
    </row>
    <row r="18" spans="1:8">
      <c r="A18" s="798">
        <v>1</v>
      </c>
      <c r="B18" s="800" t="s">
        <v>1</v>
      </c>
      <c r="C18" s="801">
        <v>0</v>
      </c>
      <c r="D18" s="1244"/>
      <c r="E18" s="1244"/>
      <c r="F18" s="871"/>
      <c r="G18" s="872"/>
      <c r="H18" s="859"/>
    </row>
    <row r="19" spans="1:8" ht="48" customHeight="1">
      <c r="A19" s="804" t="s">
        <v>111</v>
      </c>
      <c r="B19" s="873" t="s">
        <v>228</v>
      </c>
      <c r="C19" s="801">
        <v>6</v>
      </c>
      <c r="D19" s="1244"/>
      <c r="E19" s="1244"/>
      <c r="F19" s="871"/>
      <c r="G19" s="872"/>
      <c r="H19" s="859"/>
    </row>
    <row r="20" spans="1:8" ht="54.75" customHeight="1">
      <c r="A20" s="804" t="s">
        <v>112</v>
      </c>
      <c r="B20" s="873" t="s">
        <v>229</v>
      </c>
      <c r="C20" s="801">
        <v>22</v>
      </c>
      <c r="D20" s="1244"/>
      <c r="E20" s="1244"/>
      <c r="F20" s="871"/>
      <c r="G20" s="872"/>
      <c r="H20" s="859"/>
    </row>
    <row r="21" spans="1:8" ht="72" customHeight="1">
      <c r="A21" s="804" t="s">
        <v>113</v>
      </c>
      <c r="B21" s="874" t="s">
        <v>230</v>
      </c>
      <c r="C21" s="801">
        <v>4</v>
      </c>
      <c r="D21" s="1244"/>
      <c r="E21" s="1244"/>
      <c r="F21" s="871"/>
      <c r="G21" s="872"/>
      <c r="H21" s="859"/>
    </row>
    <row r="22" spans="1:8" ht="35.25" customHeight="1">
      <c r="A22" s="804" t="s">
        <v>114</v>
      </c>
      <c r="B22" s="874" t="s">
        <v>231</v>
      </c>
      <c r="C22" s="807">
        <v>15</v>
      </c>
      <c r="D22" s="1244"/>
      <c r="E22" s="1244"/>
      <c r="F22" s="871"/>
      <c r="G22" s="872"/>
      <c r="H22" s="859"/>
    </row>
    <row r="23" spans="1:8">
      <c r="A23" s="1260"/>
      <c r="B23" s="1248"/>
      <c r="C23" s="1241"/>
      <c r="D23" s="1241"/>
      <c r="E23" s="1241"/>
      <c r="F23" s="1241"/>
      <c r="G23" s="1242"/>
      <c r="H23" s="867"/>
    </row>
    <row r="24" spans="1:8" ht="13.5">
      <c r="A24" s="1239" t="s">
        <v>360</v>
      </c>
      <c r="B24" s="1261"/>
      <c r="C24" s="1261"/>
      <c r="D24" s="1261"/>
      <c r="E24" s="1261"/>
      <c r="F24" s="1261"/>
      <c r="G24" s="1242"/>
      <c r="H24" s="867"/>
    </row>
    <row r="25" spans="1:8">
      <c r="A25" s="798" t="s">
        <v>86</v>
      </c>
      <c r="B25" s="798" t="s">
        <v>8</v>
      </c>
      <c r="C25" s="798" t="s">
        <v>2</v>
      </c>
      <c r="D25" s="1243" t="s">
        <v>149</v>
      </c>
      <c r="E25" s="1243"/>
      <c r="F25" s="868"/>
      <c r="G25" s="869"/>
      <c r="H25" s="870"/>
    </row>
    <row r="26" spans="1:8">
      <c r="A26" s="798">
        <v>2</v>
      </c>
      <c r="B26" s="800" t="s">
        <v>243</v>
      </c>
      <c r="C26" s="841">
        <v>9</v>
      </c>
      <c r="D26" s="1244"/>
      <c r="E26" s="1244"/>
      <c r="F26" s="871"/>
      <c r="G26" s="872"/>
      <c r="H26" s="859"/>
    </row>
    <row r="27" spans="1:8">
      <c r="A27" s="801" t="s">
        <v>3</v>
      </c>
      <c r="B27" s="805" t="s">
        <v>4</v>
      </c>
      <c r="C27" s="808">
        <v>8</v>
      </c>
      <c r="D27" s="1244"/>
      <c r="E27" s="1244"/>
      <c r="F27" s="871"/>
      <c r="G27" s="872"/>
      <c r="H27" s="859"/>
    </row>
    <row r="28" spans="1:8">
      <c r="A28" s="804" t="s">
        <v>5</v>
      </c>
      <c r="B28" s="805" t="s">
        <v>144</v>
      </c>
      <c r="C28" s="808">
        <v>1</v>
      </c>
      <c r="D28" s="1244"/>
      <c r="E28" s="1244"/>
      <c r="F28" s="871"/>
      <c r="G28" s="872"/>
      <c r="H28" s="859"/>
    </row>
    <row r="29" spans="1:8">
      <c r="A29" s="801" t="s">
        <v>145</v>
      </c>
      <c r="B29" s="805" t="s">
        <v>146</v>
      </c>
      <c r="C29" s="808">
        <v>0</v>
      </c>
      <c r="D29" s="1245"/>
      <c r="E29" s="1259"/>
      <c r="F29" s="876"/>
      <c r="G29" s="872"/>
      <c r="H29" s="859"/>
    </row>
    <row r="30" spans="1:8">
      <c r="A30" s="801" t="s">
        <v>244</v>
      </c>
      <c r="B30" s="805" t="s">
        <v>245</v>
      </c>
      <c r="C30" s="808"/>
      <c r="D30" s="875"/>
      <c r="E30" s="876"/>
      <c r="F30" s="876"/>
      <c r="G30" s="872"/>
      <c r="H30" s="859"/>
    </row>
    <row r="31" spans="1:8">
      <c r="A31" s="798">
        <v>3</v>
      </c>
      <c r="B31" s="800" t="s">
        <v>14</v>
      </c>
      <c r="C31" s="841">
        <v>11</v>
      </c>
      <c r="D31" s="1244"/>
      <c r="E31" s="1244"/>
      <c r="F31" s="871"/>
      <c r="G31" s="872"/>
      <c r="H31" s="859"/>
    </row>
    <row r="32" spans="1:8">
      <c r="A32" s="801" t="s">
        <v>6</v>
      </c>
      <c r="B32" s="805" t="s">
        <v>7</v>
      </c>
      <c r="C32" s="808">
        <v>9</v>
      </c>
      <c r="D32" s="1244"/>
      <c r="E32" s="1244"/>
      <c r="F32" s="871"/>
      <c r="G32" s="872"/>
      <c r="H32" s="859"/>
    </row>
    <row r="33" spans="1:8">
      <c r="A33" s="804" t="s">
        <v>12</v>
      </c>
      <c r="B33" s="805" t="s">
        <v>15</v>
      </c>
      <c r="C33" s="808">
        <v>2</v>
      </c>
      <c r="D33" s="1244"/>
      <c r="E33" s="1244"/>
      <c r="F33" s="871"/>
      <c r="G33" s="872"/>
      <c r="H33" s="859"/>
    </row>
    <row r="34" spans="1:8">
      <c r="A34" s="804" t="s">
        <v>13</v>
      </c>
      <c r="B34" s="805" t="s">
        <v>148</v>
      </c>
      <c r="C34" s="808">
        <v>0</v>
      </c>
      <c r="D34" s="1244"/>
      <c r="E34" s="1244"/>
      <c r="F34" s="871"/>
      <c r="G34" s="872"/>
      <c r="H34" s="859"/>
    </row>
    <row r="35" spans="1:8">
      <c r="A35" s="798">
        <v>4</v>
      </c>
      <c r="B35" s="809" t="s">
        <v>17</v>
      </c>
      <c r="C35" s="808"/>
      <c r="D35" s="1244"/>
      <c r="E35" s="1244"/>
      <c r="F35" s="871"/>
      <c r="G35" s="872"/>
      <c r="H35" s="859"/>
    </row>
    <row r="36" spans="1:8">
      <c r="A36" s="804" t="s">
        <v>16</v>
      </c>
      <c r="B36" s="805" t="s">
        <v>84</v>
      </c>
      <c r="C36" s="808">
        <v>0</v>
      </c>
      <c r="D36" s="1244"/>
      <c r="E36" s="1244"/>
      <c r="F36" s="871"/>
      <c r="G36" s="872"/>
      <c r="H36" s="859"/>
    </row>
    <row r="37" spans="1:8" ht="34.5" customHeight="1">
      <c r="A37" s="798">
        <v>5</v>
      </c>
      <c r="B37" s="877" t="s">
        <v>26</v>
      </c>
      <c r="C37" s="808">
        <v>4.04</v>
      </c>
      <c r="D37" s="1244"/>
      <c r="E37" s="1244"/>
      <c r="F37" s="871"/>
      <c r="G37" s="872"/>
      <c r="H37" s="859"/>
    </row>
    <row r="38" spans="1:8">
      <c r="A38" s="810" t="s">
        <v>147</v>
      </c>
      <c r="B38" s="809" t="s">
        <v>150</v>
      </c>
      <c r="C38" s="808">
        <v>0.1744</v>
      </c>
      <c r="D38" s="1243"/>
      <c r="E38" s="1243"/>
      <c r="F38" s="868"/>
      <c r="G38" s="872"/>
      <c r="H38" s="859"/>
    </row>
    <row r="39" spans="1:8">
      <c r="A39" s="798">
        <v>6</v>
      </c>
      <c r="B39" s="800" t="s">
        <v>85</v>
      </c>
      <c r="C39" s="841">
        <v>24.04</v>
      </c>
      <c r="D39" s="1244"/>
      <c r="E39" s="1244"/>
      <c r="F39" s="871"/>
      <c r="G39" s="872"/>
      <c r="H39" s="859"/>
    </row>
    <row r="40" spans="1:8">
      <c r="A40" s="1260"/>
      <c r="B40" s="1248"/>
      <c r="C40" s="1241"/>
      <c r="D40" s="1241"/>
      <c r="E40" s="1241"/>
      <c r="F40" s="1241"/>
      <c r="G40" s="1242"/>
      <c r="H40" s="867"/>
    </row>
    <row r="41" spans="1:8" ht="15.75">
      <c r="A41" s="1239" t="s">
        <v>361</v>
      </c>
      <c r="B41" s="1235"/>
      <c r="C41" s="1235"/>
      <c r="D41" s="1235"/>
      <c r="E41" s="1235"/>
      <c r="F41" s="1235"/>
      <c r="G41" s="1236"/>
      <c r="H41" s="878"/>
    </row>
    <row r="42" spans="1:8">
      <c r="A42" s="798" t="s">
        <v>86</v>
      </c>
      <c r="B42" s="798" t="s">
        <v>8</v>
      </c>
      <c r="C42" s="798" t="s">
        <v>9</v>
      </c>
      <c r="D42" s="1243" t="s">
        <v>149</v>
      </c>
      <c r="E42" s="1243"/>
      <c r="F42" s="868"/>
      <c r="G42" s="869"/>
      <c r="H42" s="870"/>
    </row>
    <row r="43" spans="1:8">
      <c r="A43" s="798"/>
      <c r="B43" s="879" t="s">
        <v>10</v>
      </c>
      <c r="C43" s="1244"/>
      <c r="D43" s="1244"/>
      <c r="E43" s="1244"/>
      <c r="F43" s="871"/>
      <c r="G43" s="872"/>
      <c r="H43" s="859"/>
    </row>
    <row r="44" spans="1:8">
      <c r="A44" s="798">
        <v>7</v>
      </c>
      <c r="B44" s="800" t="s">
        <v>246</v>
      </c>
      <c r="C44" s="880">
        <v>622205</v>
      </c>
      <c r="D44" s="1244"/>
      <c r="E44" s="1244"/>
      <c r="F44" s="871"/>
      <c r="G44" s="872"/>
      <c r="H44" s="859"/>
    </row>
    <row r="45" spans="1:8">
      <c r="A45" s="801" t="s">
        <v>11</v>
      </c>
      <c r="B45" s="805" t="s">
        <v>19</v>
      </c>
      <c r="C45" s="846">
        <v>500571</v>
      </c>
      <c r="D45" s="1244"/>
      <c r="E45" s="1244"/>
      <c r="F45" s="871"/>
      <c r="G45" s="872"/>
      <c r="H45" s="859"/>
    </row>
    <row r="46" spans="1:8">
      <c r="A46" s="804" t="s">
        <v>18</v>
      </c>
      <c r="B46" s="805" t="s">
        <v>151</v>
      </c>
      <c r="C46" s="846">
        <v>121634</v>
      </c>
      <c r="D46" s="1244"/>
      <c r="E46" s="1244"/>
      <c r="F46" s="871"/>
      <c r="G46" s="872"/>
      <c r="H46" s="859"/>
    </row>
    <row r="47" spans="1:8">
      <c r="A47" s="801" t="s">
        <v>247</v>
      </c>
      <c r="B47" s="805" t="s">
        <v>248</v>
      </c>
      <c r="C47" s="850">
        <v>0</v>
      </c>
      <c r="D47" s="871"/>
      <c r="E47" s="871"/>
      <c r="F47" s="871"/>
      <c r="G47" s="872"/>
      <c r="H47" s="859"/>
    </row>
    <row r="48" spans="1:8">
      <c r="A48" s="798">
        <v>8</v>
      </c>
      <c r="B48" s="800" t="s">
        <v>109</v>
      </c>
      <c r="C48" s="880">
        <v>420328</v>
      </c>
      <c r="D48" s="1244"/>
      <c r="E48" s="1244"/>
      <c r="F48" s="871"/>
      <c r="G48" s="872"/>
      <c r="H48" s="859"/>
    </row>
    <row r="49" spans="1:8">
      <c r="A49" s="812" t="s">
        <v>20</v>
      </c>
      <c r="B49" s="813" t="s">
        <v>23</v>
      </c>
      <c r="C49" s="846">
        <v>331798</v>
      </c>
      <c r="D49" s="1244"/>
      <c r="E49" s="1244"/>
      <c r="F49" s="871"/>
      <c r="G49" s="872"/>
      <c r="H49" s="859"/>
    </row>
    <row r="50" spans="1:8">
      <c r="A50" s="804" t="s">
        <v>21</v>
      </c>
      <c r="B50" s="805" t="s">
        <v>24</v>
      </c>
      <c r="C50" s="846">
        <v>88530</v>
      </c>
      <c r="D50" s="1244"/>
      <c r="E50" s="1244"/>
      <c r="F50" s="871"/>
      <c r="G50" s="872"/>
      <c r="H50" s="859"/>
    </row>
    <row r="51" spans="1:8">
      <c r="A51" s="804" t="s">
        <v>22</v>
      </c>
      <c r="B51" s="805" t="s">
        <v>25</v>
      </c>
      <c r="C51" s="846">
        <v>0</v>
      </c>
      <c r="D51" s="1244"/>
      <c r="E51" s="1244"/>
      <c r="F51" s="871"/>
      <c r="G51" s="872"/>
      <c r="H51" s="859"/>
    </row>
    <row r="52" spans="1:8" ht="25.5">
      <c r="A52" s="814">
        <v>9</v>
      </c>
      <c r="B52" s="815" t="s">
        <v>27</v>
      </c>
      <c r="C52" s="847">
        <v>73421</v>
      </c>
      <c r="D52" s="1244"/>
      <c r="E52" s="1244"/>
      <c r="F52" s="871"/>
      <c r="G52" s="872"/>
      <c r="H52" s="859"/>
    </row>
    <row r="53" spans="1:8">
      <c r="A53" s="814">
        <v>10</v>
      </c>
      <c r="B53" s="815" t="s">
        <v>249</v>
      </c>
      <c r="C53" s="847">
        <v>1115954</v>
      </c>
      <c r="D53" s="875"/>
      <c r="E53" s="881"/>
      <c r="F53" s="881"/>
      <c r="G53" s="872"/>
      <c r="H53" s="859"/>
    </row>
    <row r="54" spans="1:8">
      <c r="A54" s="814"/>
      <c r="B54" s="815"/>
      <c r="C54" s="846"/>
      <c r="D54" s="1245"/>
      <c r="E54" s="1246"/>
      <c r="F54" s="881"/>
      <c r="G54" s="872"/>
      <c r="H54" s="859"/>
    </row>
    <row r="55" spans="1:8">
      <c r="A55" s="882"/>
      <c r="B55" s="879" t="s">
        <v>250</v>
      </c>
      <c r="C55" s="883"/>
      <c r="D55" s="1243"/>
      <c r="E55" s="1244"/>
      <c r="F55" s="871"/>
      <c r="G55" s="872"/>
      <c r="H55" s="859"/>
    </row>
    <row r="56" spans="1:8" ht="25.5">
      <c r="A56" s="884">
        <v>11</v>
      </c>
      <c r="B56" s="885" t="s">
        <v>251</v>
      </c>
      <c r="C56" s="886">
        <v>71779</v>
      </c>
      <c r="D56" s="1244"/>
      <c r="E56" s="1244"/>
      <c r="F56" s="871"/>
      <c r="G56" s="872"/>
      <c r="H56" s="859"/>
    </row>
    <row r="57" spans="1:8">
      <c r="A57" s="887" t="s">
        <v>30</v>
      </c>
      <c r="B57" s="888" t="s">
        <v>28</v>
      </c>
      <c r="C57" s="846">
        <v>71779</v>
      </c>
      <c r="D57" s="1244"/>
      <c r="E57" s="1244"/>
      <c r="F57" s="871"/>
      <c r="G57" s="872"/>
      <c r="H57" s="859"/>
    </row>
    <row r="58" spans="1:8">
      <c r="A58" s="887" t="s">
        <v>32</v>
      </c>
      <c r="B58" s="888" t="s">
        <v>363</v>
      </c>
      <c r="C58" s="846">
        <v>0</v>
      </c>
      <c r="D58" s="1244"/>
      <c r="E58" s="1244"/>
      <c r="F58" s="871"/>
      <c r="G58" s="872"/>
      <c r="H58" s="859"/>
    </row>
    <row r="59" spans="1:8">
      <c r="A59" s="887" t="s">
        <v>34</v>
      </c>
      <c r="B59" s="888" t="s">
        <v>29</v>
      </c>
      <c r="C59" s="846">
        <v>0</v>
      </c>
      <c r="D59" s="1244"/>
      <c r="E59" s="1244"/>
      <c r="F59" s="871"/>
      <c r="G59" s="872"/>
      <c r="H59" s="859"/>
    </row>
    <row r="60" spans="1:8" ht="25.5">
      <c r="A60" s="884">
        <v>12</v>
      </c>
      <c r="B60" s="885" t="s">
        <v>252</v>
      </c>
      <c r="C60" s="848">
        <v>204449</v>
      </c>
      <c r="D60" s="1244"/>
      <c r="E60" s="1244"/>
      <c r="F60" s="871"/>
      <c r="G60" s="872"/>
      <c r="H60" s="859"/>
    </row>
    <row r="61" spans="1:8">
      <c r="A61" s="887" t="s">
        <v>36</v>
      </c>
      <c r="B61" s="888" t="s">
        <v>31</v>
      </c>
      <c r="C61" s="846">
        <v>3070</v>
      </c>
      <c r="D61" s="1244"/>
      <c r="E61" s="1244"/>
      <c r="F61" s="871"/>
      <c r="G61" s="872"/>
      <c r="H61" s="859"/>
    </row>
    <row r="62" spans="1:8">
      <c r="A62" s="887" t="s">
        <v>38</v>
      </c>
      <c r="B62" s="888" t="s">
        <v>206</v>
      </c>
      <c r="C62" s="846">
        <v>201379</v>
      </c>
      <c r="D62" s="1244" t="s">
        <v>770</v>
      </c>
      <c r="E62" s="1244"/>
      <c r="F62" s="871"/>
      <c r="G62" s="872"/>
      <c r="H62" s="859"/>
    </row>
    <row r="63" spans="1:8">
      <c r="A63" s="887" t="s">
        <v>253</v>
      </c>
      <c r="B63" s="888" t="s">
        <v>33</v>
      </c>
      <c r="C63" s="846">
        <v>0</v>
      </c>
      <c r="D63" s="1244"/>
      <c r="E63" s="1244"/>
      <c r="F63" s="871"/>
      <c r="G63" s="872"/>
      <c r="H63" s="859"/>
    </row>
    <row r="64" spans="1:8">
      <c r="A64" s="887" t="s">
        <v>39</v>
      </c>
      <c r="B64" s="888" t="s">
        <v>35</v>
      </c>
      <c r="C64" s="846">
        <v>0</v>
      </c>
      <c r="D64" s="1244"/>
      <c r="E64" s="1244"/>
      <c r="F64" s="871"/>
      <c r="G64" s="872"/>
      <c r="H64" s="859"/>
    </row>
    <row r="65" spans="1:8">
      <c r="A65" s="889" t="s">
        <v>254</v>
      </c>
      <c r="B65" s="888" t="s">
        <v>153</v>
      </c>
      <c r="C65" s="846">
        <v>0</v>
      </c>
      <c r="D65" s="1244"/>
      <c r="E65" s="1244"/>
      <c r="F65" s="871"/>
      <c r="G65" s="872"/>
      <c r="H65" s="859"/>
    </row>
    <row r="66" spans="1:8">
      <c r="A66" s="889" t="s">
        <v>255</v>
      </c>
      <c r="B66" s="890" t="s">
        <v>216</v>
      </c>
      <c r="C66" s="846">
        <v>0</v>
      </c>
      <c r="D66" s="1244"/>
      <c r="E66" s="1244"/>
      <c r="F66" s="871"/>
      <c r="G66" s="872"/>
      <c r="H66" s="859"/>
    </row>
    <row r="67" spans="1:8">
      <c r="A67" s="884">
        <v>13</v>
      </c>
      <c r="B67" s="891" t="s">
        <v>256</v>
      </c>
      <c r="C67" s="848">
        <v>9944</v>
      </c>
      <c r="D67" s="1244"/>
      <c r="E67" s="1244"/>
      <c r="F67" s="871"/>
      <c r="G67" s="872"/>
      <c r="H67" s="859"/>
    </row>
    <row r="68" spans="1:8">
      <c r="A68" s="887" t="s">
        <v>156</v>
      </c>
      <c r="B68" s="890" t="s">
        <v>40</v>
      </c>
      <c r="C68" s="846">
        <v>0</v>
      </c>
      <c r="D68" s="1244"/>
      <c r="E68" s="1244"/>
      <c r="F68" s="871"/>
      <c r="G68" s="872"/>
      <c r="H68" s="859"/>
    </row>
    <row r="69" spans="1:8">
      <c r="A69" s="887" t="s">
        <v>157</v>
      </c>
      <c r="B69" s="890" t="s">
        <v>41</v>
      </c>
      <c r="C69" s="846">
        <v>9944</v>
      </c>
      <c r="D69" s="1244"/>
      <c r="E69" s="1244"/>
      <c r="F69" s="871"/>
      <c r="G69" s="872"/>
      <c r="H69" s="859"/>
    </row>
    <row r="70" spans="1:8">
      <c r="A70" s="882">
        <v>14</v>
      </c>
      <c r="B70" s="869" t="s">
        <v>257</v>
      </c>
      <c r="C70" s="848">
        <v>0</v>
      </c>
      <c r="D70" s="1244"/>
      <c r="E70" s="1244"/>
      <c r="F70" s="871"/>
      <c r="G70" s="872"/>
      <c r="H70" s="859"/>
    </row>
    <row r="71" spans="1:8">
      <c r="A71" s="892" t="s">
        <v>42</v>
      </c>
      <c r="B71" s="893" t="s">
        <v>155</v>
      </c>
      <c r="C71" s="846">
        <v>0</v>
      </c>
      <c r="D71" s="1243"/>
      <c r="E71" s="1243"/>
      <c r="F71" s="868"/>
      <c r="G71" s="872"/>
      <c r="H71" s="859"/>
    </row>
    <row r="72" spans="1:8">
      <c r="A72" s="892" t="s">
        <v>43</v>
      </c>
      <c r="B72" s="894" t="s">
        <v>258</v>
      </c>
      <c r="C72" s="846">
        <v>0</v>
      </c>
      <c r="D72" s="868"/>
      <c r="E72" s="868"/>
      <c r="F72" s="868"/>
      <c r="G72" s="872"/>
      <c r="H72" s="859"/>
    </row>
    <row r="73" spans="1:8">
      <c r="A73" s="892" t="s">
        <v>45</v>
      </c>
      <c r="B73" s="895" t="s">
        <v>44</v>
      </c>
      <c r="C73" s="846">
        <v>0</v>
      </c>
      <c r="D73" s="1244"/>
      <c r="E73" s="1244"/>
      <c r="F73" s="871"/>
      <c r="G73" s="872"/>
      <c r="H73" s="859"/>
    </row>
    <row r="74" spans="1:8">
      <c r="A74" s="892" t="s">
        <v>154</v>
      </c>
      <c r="B74" s="895" t="s">
        <v>46</v>
      </c>
      <c r="C74" s="846">
        <v>0</v>
      </c>
      <c r="D74" s="1244"/>
      <c r="E74" s="1244"/>
      <c r="F74" s="871"/>
      <c r="G74" s="872"/>
      <c r="H74" s="859"/>
    </row>
    <row r="75" spans="1:8">
      <c r="A75" s="896" t="s">
        <v>259</v>
      </c>
      <c r="B75" s="895" t="s">
        <v>104</v>
      </c>
      <c r="C75" s="846">
        <v>0</v>
      </c>
      <c r="D75" s="1244"/>
      <c r="E75" s="1244"/>
      <c r="F75" s="871"/>
      <c r="G75" s="872"/>
      <c r="H75" s="859"/>
    </row>
    <row r="76" spans="1:8">
      <c r="A76" s="897">
        <v>15</v>
      </c>
      <c r="B76" s="869" t="s">
        <v>260</v>
      </c>
      <c r="C76" s="849"/>
      <c r="D76" s="871"/>
      <c r="E76" s="871"/>
      <c r="F76" s="871"/>
      <c r="G76" s="872"/>
      <c r="H76" s="859"/>
    </row>
    <row r="77" spans="1:8">
      <c r="A77" s="896"/>
      <c r="B77" s="869"/>
      <c r="C77" s="849"/>
      <c r="D77" s="871"/>
      <c r="E77" s="871"/>
      <c r="F77" s="871"/>
      <c r="G77" s="872"/>
      <c r="H77" s="859"/>
    </row>
    <row r="78" spans="1:8">
      <c r="A78" s="896"/>
      <c r="B78" s="898" t="s">
        <v>261</v>
      </c>
      <c r="C78" s="846"/>
      <c r="D78" s="1244"/>
      <c r="E78" s="1244"/>
      <c r="F78" s="871"/>
      <c r="G78" s="872"/>
      <c r="H78" s="859"/>
    </row>
    <row r="79" spans="1:8">
      <c r="A79" s="896"/>
      <c r="B79" s="794"/>
      <c r="C79" s="846"/>
      <c r="D79" s="871"/>
      <c r="E79" s="871"/>
      <c r="F79" s="871"/>
      <c r="G79" s="872"/>
      <c r="H79" s="859"/>
    </row>
    <row r="80" spans="1:8">
      <c r="A80" s="882">
        <v>16</v>
      </c>
      <c r="B80" s="899" t="s">
        <v>262</v>
      </c>
      <c r="C80" s="850">
        <v>14342</v>
      </c>
      <c r="D80" s="871"/>
      <c r="E80" s="871"/>
      <c r="F80" s="871"/>
      <c r="G80" s="872"/>
      <c r="H80" s="859"/>
    </row>
    <row r="81" spans="1:8">
      <c r="A81" s="896" t="s">
        <v>263</v>
      </c>
      <c r="B81" s="872" t="s">
        <v>264</v>
      </c>
      <c r="C81" s="846">
        <v>6371</v>
      </c>
      <c r="D81" s="871"/>
      <c r="E81" s="871"/>
      <c r="F81" s="871"/>
      <c r="G81" s="872"/>
      <c r="H81" s="859"/>
    </row>
    <row r="82" spans="1:8" ht="25.5">
      <c r="A82" s="896" t="s">
        <v>192</v>
      </c>
      <c r="B82" s="900" t="s">
        <v>207</v>
      </c>
      <c r="C82" s="846">
        <v>4422</v>
      </c>
      <c r="D82" s="871"/>
      <c r="E82" s="871"/>
      <c r="F82" s="871"/>
      <c r="G82" s="872"/>
      <c r="H82" s="859"/>
    </row>
    <row r="83" spans="1:8">
      <c r="A83" s="896" t="s">
        <v>193</v>
      </c>
      <c r="B83" s="872" t="s">
        <v>158</v>
      </c>
      <c r="C83" s="846">
        <v>3192</v>
      </c>
      <c r="D83" s="871"/>
      <c r="E83" s="871"/>
      <c r="F83" s="871"/>
      <c r="G83" s="872"/>
      <c r="H83" s="859"/>
    </row>
    <row r="84" spans="1:8">
      <c r="A84" s="896" t="s">
        <v>265</v>
      </c>
      <c r="B84" s="872" t="s">
        <v>159</v>
      </c>
      <c r="C84" s="846">
        <v>0</v>
      </c>
      <c r="D84" s="871"/>
      <c r="E84" s="871"/>
      <c r="F84" s="871"/>
      <c r="G84" s="872"/>
      <c r="H84" s="859"/>
    </row>
    <row r="85" spans="1:8">
      <c r="A85" s="896" t="s">
        <v>266</v>
      </c>
      <c r="B85" s="872" t="s">
        <v>160</v>
      </c>
      <c r="C85" s="846">
        <v>357</v>
      </c>
      <c r="D85" s="871"/>
      <c r="E85" s="871"/>
      <c r="F85" s="871"/>
      <c r="G85" s="872"/>
      <c r="H85" s="859"/>
    </row>
    <row r="86" spans="1:8">
      <c r="A86" s="897">
        <v>17</v>
      </c>
      <c r="B86" s="898" t="s">
        <v>191</v>
      </c>
      <c r="C86" s="850"/>
      <c r="D86" s="1244"/>
      <c r="E86" s="1244"/>
      <c r="F86" s="871"/>
      <c r="G86" s="869"/>
      <c r="H86" s="870"/>
    </row>
    <row r="87" spans="1:8">
      <c r="A87" s="897">
        <v>18</v>
      </c>
      <c r="B87" s="869" t="s">
        <v>267</v>
      </c>
      <c r="C87" s="848">
        <v>4467</v>
      </c>
      <c r="D87" s="1244"/>
      <c r="E87" s="1244"/>
      <c r="F87" s="871"/>
      <c r="G87" s="872"/>
      <c r="H87" s="859"/>
    </row>
    <row r="88" spans="1:8">
      <c r="A88" s="892" t="s">
        <v>268</v>
      </c>
      <c r="B88" s="901" t="s">
        <v>47</v>
      </c>
      <c r="C88" s="846">
        <v>0</v>
      </c>
      <c r="D88" s="1244"/>
      <c r="E88" s="1244"/>
      <c r="F88" s="871"/>
      <c r="G88" s="872"/>
      <c r="H88" s="859"/>
    </row>
    <row r="89" spans="1:8">
      <c r="A89" s="892" t="s">
        <v>269</v>
      </c>
      <c r="B89" s="901" t="s">
        <v>48</v>
      </c>
      <c r="C89" s="846">
        <v>4300</v>
      </c>
      <c r="D89" s="1244"/>
      <c r="E89" s="1244"/>
      <c r="F89" s="871"/>
      <c r="G89" s="872"/>
      <c r="H89" s="859"/>
    </row>
    <row r="90" spans="1:8">
      <c r="A90" s="892" t="s">
        <v>270</v>
      </c>
      <c r="B90" s="901" t="s">
        <v>105</v>
      </c>
      <c r="C90" s="883">
        <v>167</v>
      </c>
      <c r="D90" s="1244"/>
      <c r="E90" s="1244"/>
      <c r="F90" s="871"/>
      <c r="G90" s="872"/>
      <c r="H90" s="859"/>
    </row>
    <row r="91" spans="1:8">
      <c r="A91" s="897">
        <v>19</v>
      </c>
      <c r="B91" s="872" t="s">
        <v>205</v>
      </c>
      <c r="C91" s="883" t="s">
        <v>462</v>
      </c>
      <c r="D91" s="1244"/>
      <c r="E91" s="1244"/>
      <c r="F91" s="871"/>
      <c r="G91" s="872"/>
      <c r="H91" s="859"/>
    </row>
    <row r="92" spans="1:8" ht="38.25">
      <c r="A92" s="897">
        <v>20</v>
      </c>
      <c r="B92" s="900" t="s">
        <v>106</v>
      </c>
      <c r="C92" s="883">
        <v>2237</v>
      </c>
      <c r="D92" s="1244"/>
      <c r="E92" s="1244"/>
      <c r="F92" s="871"/>
      <c r="G92" s="872"/>
      <c r="H92" s="859"/>
    </row>
    <row r="93" spans="1:8">
      <c r="A93" s="897">
        <v>21</v>
      </c>
      <c r="B93" s="872" t="s">
        <v>103</v>
      </c>
      <c r="C93" s="883">
        <v>44629</v>
      </c>
      <c r="D93" s="1244"/>
      <c r="E93" s="1244"/>
      <c r="F93" s="871"/>
      <c r="G93" s="872"/>
      <c r="H93" s="859"/>
    </row>
    <row r="94" spans="1:8" ht="25.5">
      <c r="A94" s="897">
        <v>22</v>
      </c>
      <c r="B94" s="900" t="s">
        <v>107</v>
      </c>
      <c r="C94" s="902">
        <v>91800</v>
      </c>
      <c r="D94" s="1244" t="s">
        <v>771</v>
      </c>
      <c r="E94" s="1244"/>
      <c r="F94" s="903"/>
      <c r="G94" s="904"/>
      <c r="H94" s="867"/>
    </row>
    <row r="95" spans="1:8" ht="25.5">
      <c r="A95" s="897">
        <v>23</v>
      </c>
      <c r="B95" s="900" t="s">
        <v>271</v>
      </c>
      <c r="C95" s="905">
        <v>1273429</v>
      </c>
      <c r="D95" s="1244"/>
      <c r="E95" s="1244"/>
      <c r="F95" s="871"/>
      <c r="G95" s="872"/>
      <c r="H95" s="859"/>
    </row>
    <row r="96" spans="1:8">
      <c r="A96" s="896" t="s">
        <v>108</v>
      </c>
      <c r="B96" s="901" t="s">
        <v>49</v>
      </c>
      <c r="C96" s="883">
        <v>365910</v>
      </c>
      <c r="D96" s="1244"/>
      <c r="E96" s="1244"/>
      <c r="F96" s="871"/>
      <c r="G96" s="872"/>
      <c r="H96" s="859"/>
    </row>
    <row r="97" spans="1:8" ht="15">
      <c r="A97" s="897">
        <v>24</v>
      </c>
      <c r="B97" s="872" t="s">
        <v>272</v>
      </c>
      <c r="C97" s="906">
        <v>1639339</v>
      </c>
      <c r="D97" s="1244"/>
      <c r="E97" s="1244"/>
      <c r="F97" s="871"/>
      <c r="G97" s="872"/>
      <c r="H97" s="859"/>
    </row>
    <row r="99" spans="1:8" ht="15.75">
      <c r="A99" s="1234" t="s">
        <v>362</v>
      </c>
      <c r="B99" s="1235"/>
      <c r="C99" s="1235"/>
      <c r="D99" s="1235"/>
      <c r="E99" s="1235"/>
      <c r="F99" s="1235"/>
      <c r="G99" s="1236"/>
      <c r="H99" s="907"/>
    </row>
    <row r="100" spans="1:8">
      <c r="A100" s="823" t="s">
        <v>86</v>
      </c>
      <c r="B100" s="823" t="s">
        <v>8</v>
      </c>
      <c r="C100" s="824" t="s">
        <v>50</v>
      </c>
      <c r="D100" s="824" t="s">
        <v>51</v>
      </c>
      <c r="E100" s="824" t="s">
        <v>52</v>
      </c>
      <c r="F100" s="824"/>
      <c r="G100" s="908" t="s">
        <v>149</v>
      </c>
      <c r="H100" s="909"/>
    </row>
    <row r="101" spans="1:8">
      <c r="A101" s="1252"/>
      <c r="B101" s="1254" t="s">
        <v>273</v>
      </c>
      <c r="C101" s="1256"/>
      <c r="D101" s="1244"/>
      <c r="E101" s="1244"/>
      <c r="F101" s="910"/>
      <c r="G101" s="1257"/>
      <c r="H101" s="911"/>
    </row>
    <row r="102" spans="1:8">
      <c r="A102" s="1253"/>
      <c r="B102" s="1255"/>
      <c r="C102" s="1244"/>
      <c r="D102" s="1244"/>
      <c r="E102" s="1244"/>
      <c r="F102" s="912"/>
      <c r="G102" s="1258"/>
      <c r="H102" s="911"/>
    </row>
    <row r="103" spans="1:8">
      <c r="A103" s="823">
        <v>25</v>
      </c>
      <c r="B103" s="799" t="s">
        <v>274</v>
      </c>
      <c r="C103" s="842">
        <v>5164</v>
      </c>
      <c r="D103" s="842">
        <v>0</v>
      </c>
      <c r="E103" s="826">
        <v>78239</v>
      </c>
      <c r="F103" s="826"/>
      <c r="G103" s="803"/>
      <c r="H103" s="796"/>
    </row>
    <row r="104" spans="1:8">
      <c r="A104" s="818" t="s">
        <v>91</v>
      </c>
      <c r="B104" s="806" t="s">
        <v>53</v>
      </c>
      <c r="C104" s="842">
        <v>4506</v>
      </c>
      <c r="D104" s="842">
        <v>0</v>
      </c>
      <c r="E104" s="826">
        <v>72275</v>
      </c>
      <c r="F104" s="826"/>
      <c r="G104" s="803"/>
      <c r="H104" s="796"/>
    </row>
    <row r="105" spans="1:8">
      <c r="A105" s="818" t="s">
        <v>194</v>
      </c>
      <c r="B105" s="827" t="s">
        <v>54</v>
      </c>
      <c r="C105" s="826">
        <v>1161</v>
      </c>
      <c r="D105" s="818">
        <v>0</v>
      </c>
      <c r="E105" s="826" t="s">
        <v>201</v>
      </c>
      <c r="F105" s="826"/>
      <c r="G105" s="803"/>
      <c r="H105" s="796"/>
    </row>
    <row r="106" spans="1:8">
      <c r="A106" s="818" t="s">
        <v>195</v>
      </c>
      <c r="B106" s="827" t="s">
        <v>55</v>
      </c>
      <c r="C106" s="826">
        <v>3345</v>
      </c>
      <c r="D106" s="818">
        <v>0</v>
      </c>
      <c r="E106" s="826" t="s">
        <v>201</v>
      </c>
      <c r="F106" s="826"/>
      <c r="G106" s="803"/>
      <c r="H106" s="796"/>
    </row>
    <row r="107" spans="1:8">
      <c r="A107" s="818" t="s">
        <v>93</v>
      </c>
      <c r="B107" s="806" t="s">
        <v>56</v>
      </c>
      <c r="C107" s="826">
        <v>0</v>
      </c>
      <c r="D107" s="826">
        <v>0</v>
      </c>
      <c r="E107" s="826">
        <v>0</v>
      </c>
      <c r="F107" s="826"/>
      <c r="G107" s="803"/>
      <c r="H107" s="796"/>
    </row>
    <row r="108" spans="1:8">
      <c r="A108" s="818" t="s">
        <v>275</v>
      </c>
      <c r="B108" s="806" t="s">
        <v>57</v>
      </c>
      <c r="C108" s="826">
        <v>658</v>
      </c>
      <c r="D108" s="826">
        <v>0</v>
      </c>
      <c r="E108" s="826">
        <v>5964</v>
      </c>
      <c r="F108" s="826"/>
      <c r="G108" s="803"/>
      <c r="H108" s="796"/>
    </row>
    <row r="109" spans="1:8">
      <c r="A109" s="818" t="s">
        <v>276</v>
      </c>
      <c r="B109" s="806" t="s">
        <v>58</v>
      </c>
      <c r="C109" s="826">
        <v>0</v>
      </c>
      <c r="D109" s="826">
        <v>0</v>
      </c>
      <c r="E109" s="826">
        <v>400</v>
      </c>
      <c r="F109" s="826"/>
      <c r="G109" s="803"/>
      <c r="H109" s="796"/>
    </row>
    <row r="110" spans="1:8">
      <c r="A110" s="820" t="s">
        <v>277</v>
      </c>
      <c r="B110" s="806" t="s">
        <v>139</v>
      </c>
      <c r="C110" s="843">
        <v>0</v>
      </c>
      <c r="D110" s="842">
        <v>0</v>
      </c>
      <c r="E110" s="826">
        <v>0</v>
      </c>
      <c r="F110" s="826"/>
      <c r="G110" s="803"/>
      <c r="H110" s="796"/>
    </row>
    <row r="111" spans="1:8">
      <c r="A111" s="823">
        <v>26</v>
      </c>
      <c r="B111" s="811" t="s">
        <v>278</v>
      </c>
      <c r="C111" s="826">
        <v>0</v>
      </c>
      <c r="D111" s="826">
        <v>0</v>
      </c>
      <c r="E111" s="826">
        <v>456722</v>
      </c>
      <c r="F111" s="826"/>
      <c r="G111" s="803"/>
      <c r="H111" s="796"/>
    </row>
    <row r="112" spans="1:8">
      <c r="A112" s="818" t="s">
        <v>92</v>
      </c>
      <c r="B112" s="806" t="s">
        <v>59</v>
      </c>
      <c r="C112" s="826">
        <v>0</v>
      </c>
      <c r="D112" s="826">
        <v>0</v>
      </c>
      <c r="E112" s="826">
        <v>126722</v>
      </c>
      <c r="F112" s="826"/>
      <c r="G112" s="803"/>
      <c r="H112" s="796"/>
    </row>
    <row r="113" spans="1:8">
      <c r="A113" s="820" t="s">
        <v>94</v>
      </c>
      <c r="B113" s="806" t="s">
        <v>164</v>
      </c>
      <c r="C113" s="826">
        <v>0</v>
      </c>
      <c r="D113" s="826">
        <v>0</v>
      </c>
      <c r="E113" s="826">
        <v>330000</v>
      </c>
      <c r="F113" s="826"/>
      <c r="G113" s="803"/>
      <c r="H113" s="796"/>
    </row>
    <row r="114" spans="1:8">
      <c r="A114" s="818"/>
      <c r="B114" s="806"/>
      <c r="C114" s="826"/>
      <c r="D114" s="826">
        <v>0</v>
      </c>
      <c r="E114" s="826"/>
      <c r="F114" s="826"/>
      <c r="G114" s="803"/>
      <c r="H114" s="796"/>
    </row>
    <row r="115" spans="1:8" ht="38.25">
      <c r="A115" s="828">
        <v>27</v>
      </c>
      <c r="B115" s="825" t="s">
        <v>279</v>
      </c>
      <c r="C115" s="842">
        <v>0</v>
      </c>
      <c r="D115" s="842">
        <v>0</v>
      </c>
      <c r="E115" s="826">
        <v>11127</v>
      </c>
      <c r="F115" s="826"/>
      <c r="G115" s="803"/>
      <c r="H115" s="796"/>
    </row>
    <row r="116" spans="1:8" ht="25.5">
      <c r="A116" s="823" t="s">
        <v>196</v>
      </c>
      <c r="B116" s="913" t="s">
        <v>280</v>
      </c>
      <c r="C116" s="843">
        <v>0</v>
      </c>
      <c r="D116" s="843">
        <v>0</v>
      </c>
      <c r="E116" s="818">
        <v>0</v>
      </c>
      <c r="F116" s="818"/>
      <c r="G116" s="803"/>
      <c r="H116" s="796"/>
    </row>
    <row r="117" spans="1:8">
      <c r="A117" s="818" t="s">
        <v>281</v>
      </c>
      <c r="B117" s="827" t="s">
        <v>124</v>
      </c>
      <c r="C117" s="818">
        <v>0</v>
      </c>
      <c r="D117" s="818">
        <v>0</v>
      </c>
      <c r="E117" s="818">
        <v>60</v>
      </c>
      <c r="F117" s="818"/>
      <c r="G117" s="803"/>
      <c r="H117" s="796"/>
    </row>
    <row r="118" spans="1:8">
      <c r="A118" s="818" t="s">
        <v>282</v>
      </c>
      <c r="B118" s="827" t="s">
        <v>125</v>
      </c>
      <c r="C118" s="818"/>
      <c r="D118" s="818"/>
      <c r="E118" s="818">
        <v>11067</v>
      </c>
      <c r="F118" s="818"/>
      <c r="G118" s="803"/>
      <c r="H118" s="796"/>
    </row>
    <row r="119" spans="1:8" ht="25.5">
      <c r="A119" s="823" t="s">
        <v>283</v>
      </c>
      <c r="B119" s="913" t="s">
        <v>284</v>
      </c>
      <c r="C119" s="843">
        <v>0</v>
      </c>
      <c r="D119" s="843">
        <v>0</v>
      </c>
      <c r="E119" s="818">
        <v>0</v>
      </c>
      <c r="F119" s="818"/>
      <c r="G119" s="803"/>
      <c r="H119" s="796"/>
    </row>
    <row r="120" spans="1:8">
      <c r="A120" s="818" t="s">
        <v>285</v>
      </c>
      <c r="B120" s="827" t="s">
        <v>126</v>
      </c>
      <c r="C120" s="818">
        <v>0</v>
      </c>
      <c r="D120" s="818">
        <v>0</v>
      </c>
      <c r="E120" s="818">
        <v>0</v>
      </c>
      <c r="F120" s="818"/>
      <c r="G120" s="803"/>
      <c r="H120" s="796"/>
    </row>
    <row r="121" spans="1:8">
      <c r="A121" s="820" t="s">
        <v>286</v>
      </c>
      <c r="B121" s="827" t="s">
        <v>287</v>
      </c>
      <c r="C121" s="818" t="s">
        <v>380</v>
      </c>
      <c r="D121" s="818" t="s">
        <v>380</v>
      </c>
      <c r="E121" s="818" t="s">
        <v>380</v>
      </c>
      <c r="F121" s="818"/>
      <c r="G121" s="803"/>
      <c r="H121" s="796"/>
    </row>
    <row r="122" spans="1:8">
      <c r="A122" s="818" t="s">
        <v>288</v>
      </c>
      <c r="B122" s="827" t="s">
        <v>218</v>
      </c>
      <c r="C122" s="818">
        <v>0</v>
      </c>
      <c r="D122" s="818">
        <v>0</v>
      </c>
      <c r="E122" s="818">
        <v>0</v>
      </c>
      <c r="F122" s="818"/>
      <c r="G122" s="803"/>
      <c r="H122" s="796"/>
    </row>
    <row r="123" spans="1:8">
      <c r="A123" s="818"/>
      <c r="B123" s="827"/>
      <c r="C123" s="818"/>
      <c r="D123" s="818"/>
      <c r="E123" s="818"/>
      <c r="F123" s="818"/>
      <c r="G123" s="803"/>
      <c r="H123" s="796"/>
    </row>
    <row r="124" spans="1:8">
      <c r="A124" s="818" t="s">
        <v>86</v>
      </c>
      <c r="B124" s="818"/>
      <c r="C124" s="818"/>
      <c r="D124" s="818"/>
      <c r="E124" s="818"/>
      <c r="F124" s="818"/>
      <c r="G124" s="803"/>
      <c r="H124" s="796"/>
    </row>
    <row r="125" spans="1:8">
      <c r="A125" s="823">
        <v>28</v>
      </c>
      <c r="B125" s="799" t="s">
        <v>289</v>
      </c>
      <c r="C125" s="843">
        <v>583</v>
      </c>
      <c r="D125" s="843">
        <v>0</v>
      </c>
      <c r="E125" s="818">
        <v>2464</v>
      </c>
      <c r="F125" s="818"/>
      <c r="G125" s="803"/>
      <c r="H125" s="796"/>
    </row>
    <row r="126" spans="1:8">
      <c r="A126" s="818" t="s">
        <v>127</v>
      </c>
      <c r="B126" s="817" t="s">
        <v>40</v>
      </c>
      <c r="C126" s="818">
        <v>359</v>
      </c>
      <c r="D126" s="818">
        <v>0</v>
      </c>
      <c r="E126" s="818">
        <v>894</v>
      </c>
      <c r="F126" s="818"/>
      <c r="G126" s="803"/>
      <c r="H126" s="796"/>
    </row>
    <row r="127" spans="1:8">
      <c r="A127" s="818" t="s">
        <v>129</v>
      </c>
      <c r="B127" s="817" t="s">
        <v>41</v>
      </c>
      <c r="C127" s="818">
        <v>224</v>
      </c>
      <c r="D127" s="818">
        <v>0</v>
      </c>
      <c r="E127" s="818">
        <v>1570</v>
      </c>
      <c r="F127" s="818"/>
      <c r="G127" s="803"/>
      <c r="H127" s="796"/>
    </row>
    <row r="128" spans="1:8">
      <c r="A128" s="818"/>
      <c r="B128" s="794"/>
      <c r="C128" s="818"/>
      <c r="D128" s="818"/>
      <c r="E128" s="818"/>
      <c r="F128" s="818"/>
      <c r="G128" s="803"/>
      <c r="H128" s="796"/>
    </row>
    <row r="129" spans="1:8">
      <c r="A129" s="823">
        <v>29</v>
      </c>
      <c r="B129" s="799" t="s">
        <v>290</v>
      </c>
      <c r="C129" s="818"/>
      <c r="D129" s="818"/>
      <c r="E129" s="818"/>
      <c r="F129" s="818"/>
      <c r="G129" s="803"/>
      <c r="H129" s="796"/>
    </row>
    <row r="130" spans="1:8">
      <c r="A130" s="823" t="s">
        <v>165</v>
      </c>
      <c r="B130" s="799" t="s">
        <v>37</v>
      </c>
      <c r="C130" s="818">
        <v>0</v>
      </c>
      <c r="D130" s="818">
        <v>0</v>
      </c>
      <c r="E130" s="818">
        <v>1750</v>
      </c>
      <c r="F130" s="818"/>
      <c r="G130" s="803"/>
      <c r="H130" s="796"/>
    </row>
    <row r="131" spans="1:8">
      <c r="A131" s="823" t="s">
        <v>166</v>
      </c>
      <c r="B131" s="799" t="s">
        <v>79</v>
      </c>
      <c r="C131" s="818">
        <v>0</v>
      </c>
      <c r="D131" s="818">
        <v>0</v>
      </c>
      <c r="E131" s="818">
        <v>0</v>
      </c>
      <c r="F131" s="818"/>
      <c r="G131" s="803"/>
      <c r="H131" s="796"/>
    </row>
    <row r="132" spans="1:8">
      <c r="A132" s="823" t="s">
        <v>291</v>
      </c>
      <c r="B132" s="822" t="s">
        <v>222</v>
      </c>
      <c r="C132" s="823"/>
      <c r="D132" s="823"/>
      <c r="E132" s="823"/>
      <c r="F132" s="823"/>
      <c r="G132" s="799"/>
      <c r="H132" s="909"/>
    </row>
    <row r="133" spans="1:8">
      <c r="A133" s="823" t="s">
        <v>292</v>
      </c>
      <c r="B133" s="822" t="s">
        <v>293</v>
      </c>
      <c r="C133" s="823">
        <v>0</v>
      </c>
      <c r="D133" s="823">
        <v>0</v>
      </c>
      <c r="E133" s="823">
        <v>0</v>
      </c>
      <c r="F133" s="823"/>
      <c r="G133" s="799"/>
      <c r="H133" s="909"/>
    </row>
    <row r="134" spans="1:8">
      <c r="A134" s="823" t="s">
        <v>294</v>
      </c>
      <c r="B134" s="822" t="s">
        <v>223</v>
      </c>
      <c r="C134" s="823">
        <v>0</v>
      </c>
      <c r="D134" s="823">
        <v>0</v>
      </c>
      <c r="E134" s="823">
        <v>0</v>
      </c>
      <c r="F134" s="823"/>
      <c r="G134" s="799"/>
      <c r="H134" s="909"/>
    </row>
    <row r="135" spans="1:8">
      <c r="A135" s="823" t="s">
        <v>295</v>
      </c>
      <c r="B135" s="829" t="s">
        <v>224</v>
      </c>
      <c r="C135" s="823">
        <v>0</v>
      </c>
      <c r="D135" s="823">
        <v>0</v>
      </c>
      <c r="E135" s="823">
        <v>0</v>
      </c>
      <c r="F135" s="823"/>
      <c r="G135" s="799"/>
      <c r="H135" s="909"/>
    </row>
    <row r="136" spans="1:8">
      <c r="A136" s="823" t="s">
        <v>296</v>
      </c>
      <c r="B136" s="829" t="s">
        <v>225</v>
      </c>
      <c r="C136" s="823">
        <v>0</v>
      </c>
      <c r="D136" s="823">
        <v>0</v>
      </c>
      <c r="E136" s="823">
        <v>0</v>
      </c>
      <c r="F136" s="823"/>
      <c r="G136" s="799"/>
      <c r="H136" s="909"/>
    </row>
    <row r="137" spans="1:8">
      <c r="A137" s="818"/>
      <c r="B137" s="799" t="s">
        <v>297</v>
      </c>
      <c r="C137" s="818"/>
      <c r="D137" s="818"/>
      <c r="E137" s="818"/>
      <c r="F137" s="818"/>
      <c r="G137" s="803"/>
      <c r="H137" s="796"/>
    </row>
    <row r="138" spans="1:8">
      <c r="A138" s="830" t="s">
        <v>298</v>
      </c>
      <c r="B138" s="829" t="s">
        <v>197</v>
      </c>
      <c r="C138" s="823" t="s">
        <v>380</v>
      </c>
      <c r="D138" s="823" t="s">
        <v>380</v>
      </c>
      <c r="E138" s="823" t="s">
        <v>380</v>
      </c>
      <c r="F138" s="823"/>
      <c r="G138" s="799"/>
      <c r="H138" s="909"/>
    </row>
    <row r="139" spans="1:8">
      <c r="A139" s="830" t="s">
        <v>299</v>
      </c>
      <c r="B139" s="829" t="s">
        <v>198</v>
      </c>
      <c r="C139" s="823" t="s">
        <v>380</v>
      </c>
      <c r="D139" s="823" t="s">
        <v>380</v>
      </c>
      <c r="E139" s="823">
        <v>35322</v>
      </c>
      <c r="F139" s="823"/>
      <c r="G139" s="799"/>
      <c r="H139" s="909"/>
    </row>
    <row r="140" spans="1:8">
      <c r="A140" s="830" t="s">
        <v>300</v>
      </c>
      <c r="B140" s="829" t="s">
        <v>199</v>
      </c>
      <c r="C140" s="823" t="s">
        <v>380</v>
      </c>
      <c r="D140" s="823" t="s">
        <v>380</v>
      </c>
      <c r="E140" s="823">
        <v>316</v>
      </c>
      <c r="F140" s="823"/>
      <c r="G140" s="799"/>
      <c r="H140" s="909"/>
    </row>
    <row r="141" spans="1:8">
      <c r="A141" s="830" t="s">
        <v>301</v>
      </c>
      <c r="B141" s="829" t="s">
        <v>200</v>
      </c>
      <c r="C141" s="823" t="s">
        <v>201</v>
      </c>
      <c r="D141" s="823" t="s">
        <v>201</v>
      </c>
      <c r="E141" s="823" t="s">
        <v>201</v>
      </c>
      <c r="F141" s="823"/>
      <c r="G141" s="799"/>
      <c r="H141" s="909"/>
    </row>
    <row r="142" spans="1:8">
      <c r="A142" s="823" t="s">
        <v>302</v>
      </c>
      <c r="B142" s="829" t="s">
        <v>220</v>
      </c>
      <c r="C142" s="823">
        <v>0</v>
      </c>
      <c r="D142" s="823">
        <v>0</v>
      </c>
      <c r="E142" s="823">
        <v>0</v>
      </c>
      <c r="F142" s="823"/>
      <c r="G142" s="799"/>
      <c r="H142" s="909"/>
    </row>
    <row r="143" spans="1:8">
      <c r="A143" s="823" t="s">
        <v>303</v>
      </c>
      <c r="B143" s="829" t="s">
        <v>221</v>
      </c>
      <c r="C143" s="823"/>
      <c r="D143" s="823"/>
      <c r="E143" s="823"/>
      <c r="F143" s="823"/>
      <c r="G143" s="799"/>
      <c r="H143" s="909"/>
    </row>
    <row r="144" spans="1:8">
      <c r="A144" s="1247"/>
      <c r="B144" s="1248"/>
      <c r="C144" s="1241"/>
      <c r="D144" s="1241"/>
      <c r="E144" s="1241"/>
      <c r="F144" s="1241"/>
      <c r="G144" s="1242"/>
      <c r="H144" s="911"/>
    </row>
    <row r="145" spans="1:9" ht="15.75">
      <c r="A145" s="1234" t="s">
        <v>99</v>
      </c>
      <c r="B145" s="1249"/>
      <c r="C145" s="1249"/>
      <c r="D145" s="1249"/>
      <c r="E145" s="1249"/>
      <c r="F145" s="1249"/>
      <c r="G145" s="1249"/>
      <c r="H145" s="915"/>
      <c r="I145" s="907"/>
    </row>
    <row r="147" spans="1:9">
      <c r="A147" s="830">
        <v>30</v>
      </c>
      <c r="B147" s="799" t="s">
        <v>304</v>
      </c>
      <c r="C147" s="844">
        <v>309085</v>
      </c>
      <c r="D147" s="794"/>
      <c r="E147" s="794"/>
      <c r="F147" s="794"/>
      <c r="G147" s="794"/>
      <c r="H147" s="794"/>
      <c r="I147" s="794"/>
    </row>
    <row r="148" spans="1:9">
      <c r="A148" s="820" t="s">
        <v>169</v>
      </c>
      <c r="B148" s="803" t="s">
        <v>167</v>
      </c>
      <c r="C148" s="802">
        <v>264579</v>
      </c>
      <c r="D148" s="794"/>
      <c r="E148" s="794"/>
      <c r="F148" s="794"/>
      <c r="G148" s="794"/>
      <c r="H148" s="794"/>
      <c r="I148" s="794"/>
    </row>
    <row r="149" spans="1:9">
      <c r="A149" s="820" t="s">
        <v>171</v>
      </c>
      <c r="B149" s="803" t="s">
        <v>168</v>
      </c>
      <c r="C149" s="802">
        <v>44506</v>
      </c>
      <c r="D149" s="794"/>
      <c r="E149" s="794"/>
      <c r="F149" s="794"/>
      <c r="G149" s="794"/>
      <c r="H149" s="794"/>
      <c r="I149" s="794"/>
    </row>
    <row r="150" spans="1:9" ht="24.75">
      <c r="A150" s="830">
        <v>31</v>
      </c>
      <c r="B150" s="825" t="s">
        <v>305</v>
      </c>
      <c r="C150" s="802"/>
      <c r="D150" s="794"/>
      <c r="E150" s="794"/>
      <c r="F150" s="794"/>
      <c r="G150" s="794"/>
      <c r="H150" s="794"/>
      <c r="I150" s="794"/>
    </row>
    <row r="151" spans="1:9">
      <c r="A151" s="820" t="s">
        <v>137</v>
      </c>
      <c r="B151" s="803" t="s">
        <v>170</v>
      </c>
      <c r="C151" s="802">
        <v>462295</v>
      </c>
      <c r="D151" s="794"/>
      <c r="E151" s="794"/>
      <c r="F151" s="794"/>
      <c r="G151" s="794"/>
      <c r="H151" s="794"/>
      <c r="I151" s="794"/>
    </row>
    <row r="152" spans="1:9">
      <c r="A152" s="820" t="s">
        <v>138</v>
      </c>
      <c r="B152" s="803" t="s">
        <v>172</v>
      </c>
      <c r="C152" s="802">
        <v>825830</v>
      </c>
      <c r="D152" s="794"/>
      <c r="E152" s="794"/>
      <c r="F152" s="794"/>
      <c r="G152" s="794"/>
      <c r="H152" s="794"/>
      <c r="I152" s="794"/>
    </row>
    <row r="153" spans="1:9">
      <c r="A153" s="820"/>
      <c r="B153" s="803"/>
      <c r="C153" s="802"/>
      <c r="D153" s="794"/>
      <c r="E153" s="794"/>
      <c r="F153" s="794"/>
      <c r="G153" s="794"/>
      <c r="H153" s="794"/>
      <c r="I153" s="794"/>
    </row>
    <row r="154" spans="1:9">
      <c r="A154" s="823"/>
      <c r="B154" s="1250" t="s">
        <v>306</v>
      </c>
      <c r="C154" s="1251"/>
      <c r="D154" s="794"/>
      <c r="E154" s="794"/>
      <c r="F154" s="794"/>
      <c r="G154" s="794"/>
      <c r="H154" s="794"/>
      <c r="I154" s="794"/>
    </row>
    <row r="155" spans="1:9">
      <c r="A155" s="823">
        <v>32</v>
      </c>
      <c r="B155" s="819" t="s">
        <v>307</v>
      </c>
      <c r="C155" s="843">
        <v>40472</v>
      </c>
      <c r="D155" s="794"/>
      <c r="E155" s="794"/>
      <c r="F155" s="794"/>
      <c r="G155" s="794"/>
      <c r="H155" s="794"/>
      <c r="I155" s="794"/>
    </row>
    <row r="156" spans="1:9">
      <c r="A156" s="818" t="s">
        <v>308</v>
      </c>
      <c r="B156" s="821" t="s">
        <v>69</v>
      </c>
      <c r="C156" s="818">
        <v>35243</v>
      </c>
      <c r="D156" s="794"/>
      <c r="E156" s="794"/>
      <c r="F156" s="794"/>
      <c r="G156" s="794"/>
      <c r="H156" s="794"/>
      <c r="I156" s="794"/>
    </row>
    <row r="157" spans="1:9">
      <c r="A157" s="820" t="s">
        <v>309</v>
      </c>
      <c r="B157" s="821" t="s">
        <v>70</v>
      </c>
      <c r="C157" s="818" t="s">
        <v>380</v>
      </c>
      <c r="D157" s="794"/>
      <c r="E157" s="794"/>
      <c r="F157" s="794"/>
      <c r="G157" s="794"/>
      <c r="H157" s="794"/>
      <c r="I157" s="794"/>
    </row>
    <row r="158" spans="1:9">
      <c r="A158" s="823">
        <v>33</v>
      </c>
      <c r="B158" s="833" t="s">
        <v>71</v>
      </c>
      <c r="C158" s="818" t="s">
        <v>380</v>
      </c>
      <c r="D158" s="794"/>
      <c r="E158" s="794"/>
      <c r="F158" s="794"/>
      <c r="G158" s="794"/>
      <c r="H158" s="794"/>
      <c r="I158" s="794"/>
    </row>
    <row r="159" spans="1:9">
      <c r="A159" s="823">
        <v>34</v>
      </c>
      <c r="B159" s="819" t="s">
        <v>310</v>
      </c>
      <c r="C159" s="843">
        <v>0</v>
      </c>
      <c r="D159" s="794"/>
      <c r="E159" s="794"/>
      <c r="F159" s="794"/>
      <c r="G159" s="794"/>
      <c r="H159" s="794"/>
      <c r="I159" s="794"/>
    </row>
    <row r="160" spans="1:9">
      <c r="A160" s="818" t="s">
        <v>173</v>
      </c>
      <c r="B160" s="821" t="s">
        <v>72</v>
      </c>
      <c r="C160" s="818" t="s">
        <v>380</v>
      </c>
      <c r="D160" s="794"/>
      <c r="E160" s="794"/>
      <c r="F160" s="794"/>
      <c r="G160" s="794"/>
      <c r="H160" s="794"/>
      <c r="I160" s="794"/>
    </row>
    <row r="161" spans="1:7">
      <c r="A161" s="820" t="s">
        <v>175</v>
      </c>
      <c r="B161" s="821" t="s">
        <v>73</v>
      </c>
      <c r="C161" s="818" t="s">
        <v>380</v>
      </c>
      <c r="D161" s="794"/>
      <c r="E161" s="794"/>
      <c r="F161" s="794"/>
      <c r="G161" s="794"/>
    </row>
    <row r="162" spans="1:7">
      <c r="A162" s="820" t="s">
        <v>177</v>
      </c>
      <c r="B162" s="821" t="s">
        <v>214</v>
      </c>
      <c r="C162" s="818" t="s">
        <v>380</v>
      </c>
      <c r="D162" s="794"/>
      <c r="E162" s="794"/>
      <c r="F162" s="794"/>
      <c r="G162" s="794"/>
    </row>
    <row r="163" spans="1:7">
      <c r="A163" s="816">
        <v>35</v>
      </c>
      <c r="B163" s="819" t="s">
        <v>311</v>
      </c>
      <c r="C163" s="843">
        <v>5229</v>
      </c>
      <c r="D163" s="794"/>
      <c r="E163" s="794"/>
      <c r="F163" s="794"/>
      <c r="G163" s="794"/>
    </row>
    <row r="164" spans="1:7">
      <c r="A164" s="831" t="s">
        <v>312</v>
      </c>
      <c r="B164" s="833" t="s">
        <v>174</v>
      </c>
      <c r="C164" s="818">
        <v>5229</v>
      </c>
      <c r="D164" s="794"/>
      <c r="E164" s="794"/>
      <c r="F164" s="794"/>
      <c r="G164" s="794"/>
    </row>
    <row r="165" spans="1:7">
      <c r="A165" s="820" t="s">
        <v>313</v>
      </c>
      <c r="B165" s="833" t="s">
        <v>176</v>
      </c>
      <c r="C165" s="818"/>
      <c r="D165" s="794"/>
      <c r="E165" s="794"/>
      <c r="F165" s="794"/>
      <c r="G165" s="794"/>
    </row>
    <row r="166" spans="1:7">
      <c r="A166" s="820" t="s">
        <v>314</v>
      </c>
      <c r="B166" s="833" t="s">
        <v>178</v>
      </c>
      <c r="C166" s="818" t="s">
        <v>380</v>
      </c>
      <c r="D166" s="794"/>
      <c r="E166" s="794"/>
      <c r="F166" s="794"/>
      <c r="G166" s="794"/>
    </row>
    <row r="168" spans="1:7">
      <c r="A168" s="816"/>
      <c r="B168" s="916" t="s">
        <v>87</v>
      </c>
      <c r="C168" s="914"/>
      <c r="D168" s="914"/>
      <c r="E168" s="917"/>
      <c r="F168" s="918"/>
      <c r="G168" s="794"/>
    </row>
    <row r="169" spans="1:7">
      <c r="A169" s="816">
        <v>36</v>
      </c>
      <c r="B169" s="919" t="s">
        <v>74</v>
      </c>
      <c r="C169" s="920">
        <v>1084</v>
      </c>
      <c r="D169" s="921"/>
      <c r="E169" s="837"/>
      <c r="F169" s="837"/>
      <c r="G169" s="922"/>
    </row>
    <row r="170" spans="1:7">
      <c r="A170" s="816">
        <v>37</v>
      </c>
      <c r="B170" s="833" t="s">
        <v>75</v>
      </c>
      <c r="C170" s="923">
        <v>263</v>
      </c>
      <c r="D170" s="921"/>
      <c r="E170" s="837"/>
      <c r="F170" s="837"/>
      <c r="G170" s="922"/>
    </row>
    <row r="171" spans="1:7">
      <c r="A171" s="816">
        <v>38</v>
      </c>
      <c r="B171" s="819" t="s">
        <v>315</v>
      </c>
      <c r="C171" s="845">
        <v>1347</v>
      </c>
      <c r="D171" s="924"/>
      <c r="E171" s="925"/>
      <c r="F171" s="925"/>
      <c r="G171" s="925"/>
    </row>
    <row r="172" spans="1:7">
      <c r="A172" s="831" t="s">
        <v>118</v>
      </c>
      <c r="B172" s="821" t="s">
        <v>208</v>
      </c>
      <c r="C172" s="920">
        <v>697</v>
      </c>
      <c r="D172" s="921"/>
      <c r="E172" s="837"/>
      <c r="F172" s="837"/>
      <c r="G172" s="922"/>
    </row>
    <row r="173" spans="1:7">
      <c r="A173" s="831" t="s">
        <v>119</v>
      </c>
      <c r="B173" s="821" t="s">
        <v>209</v>
      </c>
      <c r="C173" s="832">
        <v>46</v>
      </c>
      <c r="D173" s="921"/>
      <c r="E173" s="837"/>
      <c r="F173" s="837"/>
      <c r="G173" s="922"/>
    </row>
    <row r="174" spans="1:7">
      <c r="A174" s="820" t="s">
        <v>120</v>
      </c>
      <c r="B174" s="821" t="s">
        <v>210</v>
      </c>
      <c r="C174" s="832">
        <v>604</v>
      </c>
      <c r="D174" s="921"/>
      <c r="E174" s="837"/>
      <c r="F174" s="837"/>
      <c r="G174" s="922"/>
    </row>
    <row r="175" spans="1:7">
      <c r="A175" s="816">
        <v>39</v>
      </c>
      <c r="B175" s="819" t="s">
        <v>316</v>
      </c>
      <c r="C175" s="845">
        <v>0</v>
      </c>
      <c r="D175" s="921"/>
      <c r="E175" s="837"/>
      <c r="F175" s="837"/>
      <c r="G175" s="922"/>
    </row>
    <row r="176" spans="1:7">
      <c r="A176" s="831" t="s">
        <v>317</v>
      </c>
      <c r="B176" s="821" t="s">
        <v>76</v>
      </c>
      <c r="C176" s="951" t="s">
        <v>380</v>
      </c>
      <c r="D176" s="921"/>
      <c r="E176" s="837"/>
      <c r="F176" s="837"/>
      <c r="G176" s="922"/>
    </row>
    <row r="177" spans="1:7">
      <c r="A177" s="831" t="s">
        <v>318</v>
      </c>
      <c r="B177" s="821" t="s">
        <v>77</v>
      </c>
      <c r="C177" s="832" t="s">
        <v>380</v>
      </c>
      <c r="D177" s="921"/>
      <c r="E177" s="837"/>
      <c r="F177" s="837"/>
      <c r="G177" s="922"/>
    </row>
    <row r="178" spans="1:7">
      <c r="A178" s="820" t="s">
        <v>319</v>
      </c>
      <c r="B178" s="821" t="s">
        <v>78</v>
      </c>
      <c r="C178" s="832" t="s">
        <v>380</v>
      </c>
      <c r="D178" s="921"/>
      <c r="E178" s="837"/>
      <c r="F178" s="837"/>
      <c r="G178" s="922"/>
    </row>
    <row r="179" spans="1:7">
      <c r="A179" s="831"/>
      <c r="B179" s="821"/>
      <c r="C179" s="832"/>
      <c r="D179" s="921"/>
      <c r="E179" s="837"/>
      <c r="F179" s="837"/>
      <c r="G179" s="922"/>
    </row>
    <row r="180" spans="1:7" ht="25.5">
      <c r="A180" s="831"/>
      <c r="B180" s="926" t="s">
        <v>88</v>
      </c>
      <c r="C180" s="832"/>
      <c r="D180" s="921"/>
      <c r="E180" s="837"/>
      <c r="F180" s="837"/>
      <c r="G180" s="922"/>
    </row>
    <row r="181" spans="1:7">
      <c r="A181" s="816">
        <v>40</v>
      </c>
      <c r="B181" s="833" t="s">
        <v>74</v>
      </c>
      <c r="C181" s="832">
        <v>1780</v>
      </c>
      <c r="D181" s="921"/>
      <c r="E181" s="837"/>
      <c r="F181" s="837"/>
      <c r="G181" s="922"/>
    </row>
    <row r="182" spans="1:7">
      <c r="A182" s="816">
        <v>41</v>
      </c>
      <c r="B182" s="833" t="s">
        <v>75</v>
      </c>
      <c r="C182" s="832">
        <v>1799</v>
      </c>
      <c r="D182" s="921"/>
      <c r="E182" s="837"/>
      <c r="F182" s="837"/>
      <c r="G182" s="922"/>
    </row>
    <row r="183" spans="1:7">
      <c r="A183" s="816">
        <v>42</v>
      </c>
      <c r="B183" s="819" t="s">
        <v>320</v>
      </c>
      <c r="C183" s="845">
        <v>3579</v>
      </c>
      <c r="D183" s="921"/>
      <c r="E183" s="837"/>
      <c r="F183" s="837"/>
      <c r="G183" s="922"/>
    </row>
    <row r="184" spans="1:7">
      <c r="A184" s="831" t="s">
        <v>96</v>
      </c>
      <c r="B184" s="821" t="s">
        <v>211</v>
      </c>
      <c r="C184" s="923">
        <v>2775</v>
      </c>
      <c r="D184" s="921"/>
      <c r="E184" s="837"/>
      <c r="F184" s="837"/>
      <c r="G184" s="922"/>
    </row>
    <row r="185" spans="1:7">
      <c r="A185" s="831" t="s">
        <v>97</v>
      </c>
      <c r="B185" s="821" t="s">
        <v>212</v>
      </c>
      <c r="C185" s="832">
        <v>45</v>
      </c>
      <c r="D185" s="927"/>
      <c r="E185" s="928"/>
      <c r="F185" s="837"/>
      <c r="G185" s="922"/>
    </row>
    <row r="186" spans="1:7">
      <c r="A186" s="820" t="s">
        <v>98</v>
      </c>
      <c r="B186" s="821" t="s">
        <v>213</v>
      </c>
      <c r="C186" s="818">
        <v>759</v>
      </c>
      <c r="D186" s="818"/>
      <c r="E186" s="818"/>
      <c r="F186" s="837"/>
      <c r="G186" s="794"/>
    </row>
    <row r="187" spans="1:7">
      <c r="A187" s="816">
        <v>43</v>
      </c>
      <c r="B187" s="819" t="s">
        <v>321</v>
      </c>
      <c r="C187" s="845">
        <v>0</v>
      </c>
      <c r="D187" s="818"/>
      <c r="E187" s="818"/>
      <c r="F187" s="837"/>
      <c r="G187" s="794"/>
    </row>
    <row r="188" spans="1:7">
      <c r="A188" s="831" t="s">
        <v>100</v>
      </c>
      <c r="B188" s="821" t="s">
        <v>76</v>
      </c>
      <c r="C188" s="832" t="s">
        <v>380</v>
      </c>
      <c r="D188" s="818"/>
      <c r="E188" s="818"/>
      <c r="F188" s="837"/>
      <c r="G188" s="794"/>
    </row>
    <row r="189" spans="1:7">
      <c r="A189" s="831" t="s">
        <v>101</v>
      </c>
      <c r="B189" s="821" t="s">
        <v>77</v>
      </c>
      <c r="C189" s="832" t="s">
        <v>380</v>
      </c>
      <c r="D189" s="818"/>
      <c r="E189" s="818"/>
      <c r="F189" s="837"/>
      <c r="G189" s="794"/>
    </row>
    <row r="190" spans="1:7">
      <c r="A190" s="818" t="s">
        <v>102</v>
      </c>
      <c r="B190" s="806" t="s">
        <v>78</v>
      </c>
      <c r="C190" s="832" t="s">
        <v>380</v>
      </c>
      <c r="D190" s="818"/>
      <c r="E190" s="818"/>
      <c r="F190" s="837"/>
      <c r="G190" s="794"/>
    </row>
    <row r="191" spans="1:7">
      <c r="A191" s="794"/>
      <c r="B191" s="794"/>
      <c r="C191" s="794"/>
      <c r="D191" s="929"/>
      <c r="E191" s="930"/>
      <c r="F191" s="794"/>
      <c r="G191" s="794"/>
    </row>
    <row r="192" spans="1:7">
      <c r="A192" s="818"/>
      <c r="B192" s="799" t="s">
        <v>322</v>
      </c>
      <c r="C192" s="832" t="s">
        <v>90</v>
      </c>
      <c r="D192" s="1244" t="s">
        <v>81</v>
      </c>
      <c r="E192" s="1244"/>
      <c r="F192" s="918"/>
      <c r="G192" s="794"/>
    </row>
    <row r="193" spans="1:6">
      <c r="A193" s="818"/>
      <c r="B193" s="803"/>
      <c r="C193" s="832"/>
      <c r="D193" s="834" t="s">
        <v>82</v>
      </c>
      <c r="E193" s="834" t="s">
        <v>83</v>
      </c>
      <c r="F193" s="931"/>
    </row>
    <row r="194" spans="1:6">
      <c r="A194" s="823">
        <v>44</v>
      </c>
      <c r="B194" s="799" t="s">
        <v>323</v>
      </c>
      <c r="C194" s="845">
        <v>140</v>
      </c>
      <c r="D194" s="843">
        <v>0</v>
      </c>
      <c r="E194" s="843">
        <v>0</v>
      </c>
      <c r="F194" s="932"/>
    </row>
    <row r="195" spans="1:6">
      <c r="A195" s="818" t="s">
        <v>121</v>
      </c>
      <c r="B195" s="806" t="s">
        <v>181</v>
      </c>
      <c r="C195" s="832">
        <v>135</v>
      </c>
      <c r="D195" s="818" t="s">
        <v>380</v>
      </c>
      <c r="E195" s="818" t="s">
        <v>380</v>
      </c>
      <c r="F195" s="837"/>
    </row>
    <row r="196" spans="1:6">
      <c r="A196" s="818" t="s">
        <v>122</v>
      </c>
      <c r="B196" s="806" t="s">
        <v>182</v>
      </c>
      <c r="C196" s="832">
        <v>5</v>
      </c>
      <c r="D196" s="818" t="s">
        <v>380</v>
      </c>
      <c r="E196" s="818" t="s">
        <v>380</v>
      </c>
      <c r="F196" s="837"/>
    </row>
    <row r="197" spans="1:6">
      <c r="A197" s="820" t="s">
        <v>123</v>
      </c>
      <c r="B197" s="806" t="s">
        <v>180</v>
      </c>
      <c r="C197" s="832"/>
      <c r="D197" s="818"/>
      <c r="E197" s="818"/>
      <c r="F197" s="837"/>
    </row>
    <row r="198" spans="1:6">
      <c r="A198" s="823">
        <v>45</v>
      </c>
      <c r="B198" s="799" t="s">
        <v>324</v>
      </c>
      <c r="C198" s="845">
        <v>2872</v>
      </c>
      <c r="D198" s="843">
        <v>0</v>
      </c>
      <c r="E198" s="843">
        <v>0</v>
      </c>
      <c r="F198" s="932"/>
    </row>
    <row r="199" spans="1:6">
      <c r="A199" s="818" t="s">
        <v>325</v>
      </c>
      <c r="B199" s="806" t="s">
        <v>80</v>
      </c>
      <c r="C199" s="832">
        <v>2808</v>
      </c>
      <c r="D199" s="818" t="s">
        <v>380</v>
      </c>
      <c r="E199" s="818" t="s">
        <v>380</v>
      </c>
      <c r="F199" s="837"/>
    </row>
    <row r="200" spans="1:6">
      <c r="A200" s="818" t="s">
        <v>326</v>
      </c>
      <c r="B200" s="806" t="s">
        <v>60</v>
      </c>
      <c r="C200" s="832">
        <v>64</v>
      </c>
      <c r="D200" s="818" t="s">
        <v>380</v>
      </c>
      <c r="E200" s="818" t="s">
        <v>380</v>
      </c>
      <c r="F200" s="837"/>
    </row>
    <row r="201" spans="1:6">
      <c r="A201" s="820" t="s">
        <v>327</v>
      </c>
      <c r="B201" s="806" t="s">
        <v>180</v>
      </c>
      <c r="C201" s="832"/>
      <c r="D201" s="818"/>
      <c r="E201" s="818"/>
      <c r="F201" s="837"/>
    </row>
    <row r="202" spans="1:6">
      <c r="A202" s="835"/>
      <c r="B202" s="836"/>
      <c r="C202" s="837"/>
      <c r="D202" s="933"/>
      <c r="E202" s="934"/>
      <c r="F202" s="837"/>
    </row>
    <row r="203" spans="1:6">
      <c r="A203" s="823">
        <v>46</v>
      </c>
      <c r="B203" s="803" t="s">
        <v>203</v>
      </c>
      <c r="C203" s="832">
        <v>90</v>
      </c>
      <c r="D203" s="818"/>
      <c r="E203" s="818"/>
      <c r="F203" s="837"/>
    </row>
    <row r="204" spans="1:6">
      <c r="A204" s="823">
        <v>47</v>
      </c>
      <c r="B204" s="840" t="s">
        <v>204</v>
      </c>
      <c r="C204" s="832">
        <v>35</v>
      </c>
      <c r="D204" s="818"/>
      <c r="E204" s="818"/>
      <c r="F204" s="837"/>
    </row>
    <row r="205" spans="1:6">
      <c r="A205" s="823">
        <v>48</v>
      </c>
      <c r="B205" s="803" t="s">
        <v>179</v>
      </c>
      <c r="C205" s="832">
        <v>3</v>
      </c>
      <c r="D205" s="818"/>
      <c r="E205" s="818"/>
      <c r="F205" s="837"/>
    </row>
    <row r="206" spans="1:6">
      <c r="A206" s="823">
        <v>49</v>
      </c>
      <c r="B206" s="803" t="s">
        <v>61</v>
      </c>
      <c r="C206" s="832">
        <v>50</v>
      </c>
      <c r="D206" s="818"/>
      <c r="E206" s="818"/>
      <c r="F206" s="837"/>
    </row>
    <row r="207" spans="1:6">
      <c r="A207" s="935">
        <v>50</v>
      </c>
      <c r="B207" s="839" t="s">
        <v>202</v>
      </c>
      <c r="C207" s="838" t="s">
        <v>380</v>
      </c>
      <c r="D207" s="936"/>
      <c r="E207" s="937"/>
      <c r="F207" s="838"/>
    </row>
    <row r="208" spans="1:6">
      <c r="A208" s="838"/>
      <c r="B208" s="938"/>
      <c r="C208" s="838"/>
      <c r="D208" s="838"/>
      <c r="E208" s="838"/>
      <c r="F208" s="838"/>
    </row>
    <row r="209" spans="1:6">
      <c r="A209" s="838"/>
      <c r="B209" s="799" t="s">
        <v>364</v>
      </c>
      <c r="C209" s="838"/>
      <c r="D209" s="838"/>
      <c r="E209" s="838"/>
      <c r="F209" s="838"/>
    </row>
    <row r="210" spans="1:6">
      <c r="A210" s="797" t="s">
        <v>86</v>
      </c>
      <c r="B210" s="837" t="s">
        <v>8</v>
      </c>
      <c r="C210" s="802" t="s">
        <v>50</v>
      </c>
      <c r="D210" s="802" t="s">
        <v>51</v>
      </c>
      <c r="E210" s="802" t="s">
        <v>110</v>
      </c>
      <c r="F210" s="838"/>
    </row>
    <row r="211" spans="1:6">
      <c r="A211" s="830">
        <v>51</v>
      </c>
      <c r="B211" s="799" t="s">
        <v>328</v>
      </c>
      <c r="C211" s="843">
        <v>25</v>
      </c>
      <c r="D211" s="843">
        <v>5</v>
      </c>
      <c r="E211" s="802">
        <v>277</v>
      </c>
      <c r="F211" s="803"/>
    </row>
    <row r="212" spans="1:6">
      <c r="A212" s="820" t="s">
        <v>329</v>
      </c>
      <c r="B212" s="806" t="s">
        <v>226</v>
      </c>
      <c r="C212" s="802">
        <v>0</v>
      </c>
      <c r="D212" s="802">
        <v>0</v>
      </c>
      <c r="E212" s="802">
        <v>119</v>
      </c>
      <c r="F212" s="803"/>
    </row>
    <row r="213" spans="1:6">
      <c r="A213" s="820" t="s">
        <v>330</v>
      </c>
      <c r="B213" s="827" t="s">
        <v>128</v>
      </c>
      <c r="C213" s="802">
        <v>0</v>
      </c>
      <c r="D213" s="802">
        <v>0</v>
      </c>
      <c r="E213" s="802">
        <v>0</v>
      </c>
      <c r="F213" s="803"/>
    </row>
    <row r="214" spans="1:6">
      <c r="A214" s="820" t="s">
        <v>331</v>
      </c>
      <c r="B214" s="806" t="s">
        <v>227</v>
      </c>
      <c r="C214" s="802">
        <v>0</v>
      </c>
      <c r="D214" s="802">
        <v>0</v>
      </c>
      <c r="E214" s="802">
        <v>65</v>
      </c>
      <c r="F214" s="803"/>
    </row>
    <row r="215" spans="1:6">
      <c r="A215" s="820" t="s">
        <v>332</v>
      </c>
      <c r="B215" s="827" t="s">
        <v>130</v>
      </c>
      <c r="C215" s="802">
        <v>0</v>
      </c>
      <c r="D215" s="802">
        <v>0</v>
      </c>
      <c r="E215" s="802">
        <v>0</v>
      </c>
      <c r="F215" s="803"/>
    </row>
    <row r="216" spans="1:6">
      <c r="A216" s="820" t="s">
        <v>333</v>
      </c>
      <c r="B216" s="806" t="s">
        <v>232</v>
      </c>
      <c r="C216" s="802">
        <v>0</v>
      </c>
      <c r="D216" s="802">
        <v>0</v>
      </c>
      <c r="E216" s="802">
        <v>4</v>
      </c>
      <c r="F216" s="803"/>
    </row>
    <row r="217" spans="1:6">
      <c r="A217" s="820" t="s">
        <v>334</v>
      </c>
      <c r="B217" s="827" t="s">
        <v>131</v>
      </c>
      <c r="C217" s="802">
        <v>0</v>
      </c>
      <c r="D217" s="802">
        <v>0</v>
      </c>
      <c r="E217" s="802">
        <v>0</v>
      </c>
      <c r="F217" s="803"/>
    </row>
    <row r="218" spans="1:6">
      <c r="A218" s="820" t="s">
        <v>335</v>
      </c>
      <c r="B218" s="806" t="s">
        <v>233</v>
      </c>
      <c r="C218" s="802">
        <v>10</v>
      </c>
      <c r="D218" s="802">
        <v>0</v>
      </c>
      <c r="E218" s="802">
        <v>25</v>
      </c>
      <c r="F218" s="803"/>
    </row>
    <row r="219" spans="1:6">
      <c r="A219" s="820" t="s">
        <v>336</v>
      </c>
      <c r="B219" s="827" t="s">
        <v>132</v>
      </c>
      <c r="C219" s="802">
        <v>0</v>
      </c>
      <c r="D219" s="802">
        <v>0</v>
      </c>
      <c r="E219" s="802">
        <v>0</v>
      </c>
      <c r="F219" s="803"/>
    </row>
    <row r="220" spans="1:6">
      <c r="A220" s="820" t="s">
        <v>337</v>
      </c>
      <c r="B220" s="806" t="s">
        <v>234</v>
      </c>
      <c r="C220" s="802">
        <v>0</v>
      </c>
      <c r="D220" s="802">
        <v>0</v>
      </c>
      <c r="E220" s="802">
        <v>7</v>
      </c>
      <c r="F220" s="803"/>
    </row>
    <row r="221" spans="1:6">
      <c r="A221" s="820" t="s">
        <v>338</v>
      </c>
      <c r="B221" s="827" t="s">
        <v>133</v>
      </c>
      <c r="C221" s="802">
        <v>0</v>
      </c>
      <c r="D221" s="802">
        <v>0</v>
      </c>
      <c r="E221" s="802">
        <v>0</v>
      </c>
      <c r="F221" s="803"/>
    </row>
    <row r="222" spans="1:6">
      <c r="A222" s="820" t="s">
        <v>339</v>
      </c>
      <c r="B222" s="806" t="s">
        <v>235</v>
      </c>
      <c r="C222" s="802">
        <v>15</v>
      </c>
      <c r="D222" s="802">
        <v>5</v>
      </c>
      <c r="E222" s="802">
        <v>48</v>
      </c>
      <c r="F222" s="803"/>
    </row>
    <row r="223" spans="1:6">
      <c r="A223" s="820" t="s">
        <v>340</v>
      </c>
      <c r="B223" s="827" t="s">
        <v>134</v>
      </c>
      <c r="C223" s="802">
        <v>0</v>
      </c>
      <c r="D223" s="802">
        <v>0</v>
      </c>
      <c r="E223" s="802">
        <v>0</v>
      </c>
      <c r="F223" s="803"/>
    </row>
    <row r="224" spans="1:6">
      <c r="A224" s="820" t="s">
        <v>341</v>
      </c>
      <c r="B224" s="806" t="s">
        <v>236</v>
      </c>
      <c r="C224" s="802">
        <v>0</v>
      </c>
      <c r="D224" s="802">
        <v>0</v>
      </c>
      <c r="E224" s="802">
        <v>2</v>
      </c>
      <c r="F224" s="803"/>
    </row>
    <row r="225" spans="1:8">
      <c r="A225" s="820" t="s">
        <v>342</v>
      </c>
      <c r="B225" s="827" t="s">
        <v>135</v>
      </c>
      <c r="C225" s="802">
        <v>0</v>
      </c>
      <c r="D225" s="802">
        <v>0</v>
      </c>
      <c r="E225" s="802">
        <v>0</v>
      </c>
      <c r="F225" s="803"/>
      <c r="G225" s="795"/>
      <c r="H225" s="795"/>
    </row>
    <row r="226" spans="1:8">
      <c r="A226" s="820" t="s">
        <v>343</v>
      </c>
      <c r="B226" s="806" t="s">
        <v>237</v>
      </c>
      <c r="C226" s="802">
        <v>0</v>
      </c>
      <c r="D226" s="802">
        <v>0</v>
      </c>
      <c r="E226" s="802">
        <v>7</v>
      </c>
      <c r="F226" s="803"/>
      <c r="G226" s="795"/>
      <c r="H226" s="795"/>
    </row>
    <row r="227" spans="1:8" ht="25.5">
      <c r="A227" s="820" t="s">
        <v>344</v>
      </c>
      <c r="B227" s="939" t="s">
        <v>136</v>
      </c>
      <c r="C227" s="802">
        <v>0</v>
      </c>
      <c r="D227" s="802">
        <v>0</v>
      </c>
      <c r="E227" s="802">
        <v>0</v>
      </c>
      <c r="F227" s="803"/>
      <c r="G227" s="795"/>
      <c r="H227" s="795"/>
    </row>
    <row r="228" spans="1:8">
      <c r="A228" s="838"/>
      <c r="B228" s="938"/>
      <c r="C228" s="838"/>
      <c r="D228" s="838"/>
      <c r="E228" s="838"/>
      <c r="F228" s="838"/>
      <c r="G228" s="794"/>
      <c r="H228" s="794"/>
    </row>
    <row r="229" spans="1:8">
      <c r="A229" s="838"/>
      <c r="B229" s="940" t="s">
        <v>345</v>
      </c>
      <c r="C229" s="827"/>
      <c r="D229" s="941"/>
      <c r="E229" s="941"/>
      <c r="F229" s="941"/>
      <c r="G229" s="794"/>
      <c r="H229" s="794"/>
    </row>
    <row r="230" spans="1:8" ht="25.5">
      <c r="A230" s="820" t="s">
        <v>346</v>
      </c>
      <c r="B230" s="942" t="s">
        <v>238</v>
      </c>
      <c r="C230" s="943" t="s">
        <v>380</v>
      </c>
      <c r="D230" s="838"/>
      <c r="E230" s="838"/>
      <c r="F230" s="838"/>
      <c r="G230" s="794"/>
      <c r="H230" s="794"/>
    </row>
    <row r="231" spans="1:8">
      <c r="A231" s="820" t="s">
        <v>347</v>
      </c>
      <c r="B231" s="939" t="s">
        <v>115</v>
      </c>
      <c r="C231" s="944" t="s">
        <v>380</v>
      </c>
      <c r="D231" s="838"/>
      <c r="E231" s="838"/>
      <c r="F231" s="838"/>
      <c r="G231" s="794"/>
      <c r="H231" s="794"/>
    </row>
    <row r="232" spans="1:8" ht="25.5">
      <c r="A232" s="820" t="s">
        <v>348</v>
      </c>
      <c r="B232" s="942" t="s">
        <v>239</v>
      </c>
      <c r="C232" s="944" t="s">
        <v>380</v>
      </c>
      <c r="D232" s="838"/>
      <c r="E232" s="838"/>
      <c r="F232" s="838"/>
      <c r="G232" s="794"/>
      <c r="H232" s="794"/>
    </row>
    <row r="233" spans="1:8">
      <c r="A233" s="820" t="s">
        <v>349</v>
      </c>
      <c r="B233" s="939" t="s">
        <v>116</v>
      </c>
      <c r="C233" s="944" t="s">
        <v>380</v>
      </c>
      <c r="D233" s="838"/>
      <c r="E233" s="838"/>
      <c r="F233" s="838"/>
      <c r="G233" s="794"/>
      <c r="H233" s="794"/>
    </row>
    <row r="234" spans="1:8" ht="25.5">
      <c r="A234" s="820" t="s">
        <v>350</v>
      </c>
      <c r="B234" s="942" t="s">
        <v>240</v>
      </c>
      <c r="C234" s="944" t="s">
        <v>380</v>
      </c>
      <c r="D234" s="838"/>
      <c r="E234" s="838"/>
      <c r="F234" s="838"/>
      <c r="G234" s="794"/>
      <c r="H234" s="794"/>
    </row>
    <row r="235" spans="1:8">
      <c r="A235" s="820" t="s">
        <v>351</v>
      </c>
      <c r="B235" s="939" t="s">
        <v>117</v>
      </c>
      <c r="C235" s="945" t="s">
        <v>380</v>
      </c>
      <c r="D235" s="838"/>
      <c r="E235" s="838"/>
      <c r="F235" s="838"/>
      <c r="G235" s="794"/>
      <c r="H235" s="794"/>
    </row>
    <row r="236" spans="1:8">
      <c r="A236" s="946"/>
      <c r="B236" s="947"/>
      <c r="C236" s="838"/>
      <c r="D236" s="838"/>
      <c r="E236" s="838"/>
      <c r="F236" s="838"/>
      <c r="G236" s="794"/>
      <c r="H236" s="794"/>
    </row>
    <row r="237" spans="1:8" ht="15.75">
      <c r="A237" s="1234" t="s">
        <v>89</v>
      </c>
      <c r="B237" s="1235"/>
      <c r="C237" s="1235"/>
      <c r="D237" s="1235"/>
      <c r="E237" s="1235"/>
      <c r="F237" s="1235"/>
      <c r="G237" s="1236"/>
      <c r="H237" s="907"/>
    </row>
    <row r="238" spans="1:8">
      <c r="A238" s="818" t="s">
        <v>86</v>
      </c>
      <c r="B238" s="818" t="s">
        <v>8</v>
      </c>
      <c r="C238" s="818" t="s">
        <v>0</v>
      </c>
      <c r="D238" s="818"/>
      <c r="E238" s="832"/>
      <c r="F238" s="832"/>
      <c r="G238" s="803"/>
      <c r="H238" s="796"/>
    </row>
    <row r="239" spans="1:8">
      <c r="A239" s="823">
        <v>52</v>
      </c>
      <c r="B239" s="803" t="s">
        <v>62</v>
      </c>
      <c r="C239" s="818">
        <v>74</v>
      </c>
      <c r="D239" s="818"/>
      <c r="E239" s="832"/>
      <c r="F239" s="832"/>
      <c r="G239" s="803"/>
      <c r="H239" s="796"/>
    </row>
    <row r="240" spans="1:8">
      <c r="A240" s="823">
        <v>53</v>
      </c>
      <c r="B240" s="803" t="s">
        <v>63</v>
      </c>
      <c r="C240" s="818">
        <v>9000</v>
      </c>
      <c r="D240" s="818"/>
      <c r="E240" s="832"/>
      <c r="F240" s="832"/>
      <c r="G240" s="803"/>
      <c r="H240" s="796"/>
    </row>
    <row r="241" spans="1:10">
      <c r="A241" s="823">
        <v>54</v>
      </c>
      <c r="B241" s="803" t="s">
        <v>215</v>
      </c>
      <c r="C241" s="818">
        <v>74</v>
      </c>
      <c r="D241" s="818"/>
      <c r="E241" s="832"/>
      <c r="F241" s="832"/>
      <c r="G241" s="803"/>
      <c r="H241" s="796"/>
      <c r="I241" s="794"/>
      <c r="J241" s="794"/>
    </row>
    <row r="242" spans="1:10">
      <c r="A242" s="823"/>
      <c r="B242" s="803"/>
      <c r="C242" s="818"/>
      <c r="D242" s="818"/>
      <c r="E242" s="832"/>
      <c r="F242" s="832"/>
      <c r="G242" s="803"/>
      <c r="H242" s="796"/>
      <c r="I242" s="794"/>
      <c r="J242" s="794"/>
    </row>
    <row r="243" spans="1:10">
      <c r="A243" s="823"/>
      <c r="B243" s="803"/>
      <c r="C243" s="818" t="s">
        <v>140</v>
      </c>
      <c r="D243" s="818" t="s">
        <v>141</v>
      </c>
      <c r="E243" s="832" t="s">
        <v>142</v>
      </c>
      <c r="F243" s="818" t="s">
        <v>143</v>
      </c>
      <c r="G243" s="851" t="s">
        <v>352</v>
      </c>
      <c r="H243" s="948"/>
      <c r="I243" s="794"/>
      <c r="J243" s="794"/>
    </row>
    <row r="244" spans="1:10">
      <c r="A244" s="823"/>
      <c r="B244" s="803"/>
      <c r="C244" s="818"/>
      <c r="D244" s="818"/>
      <c r="E244" s="832"/>
      <c r="F244" s="832"/>
      <c r="G244" s="818"/>
      <c r="H244" s="948"/>
      <c r="I244" s="794"/>
      <c r="J244" s="794"/>
    </row>
    <row r="245" spans="1:10">
      <c r="A245" s="823">
        <v>55</v>
      </c>
      <c r="B245" s="799" t="s">
        <v>217</v>
      </c>
      <c r="C245" s="843">
        <v>0</v>
      </c>
      <c r="D245" s="843">
        <v>0</v>
      </c>
      <c r="E245" s="845">
        <v>0</v>
      </c>
      <c r="F245" s="845">
        <v>0</v>
      </c>
      <c r="G245" s="843">
        <v>0</v>
      </c>
      <c r="H245" s="932"/>
      <c r="I245" s="794"/>
      <c r="J245" s="794"/>
    </row>
    <row r="246" spans="1:10">
      <c r="A246" s="818" t="s">
        <v>353</v>
      </c>
      <c r="B246" s="806" t="s">
        <v>64</v>
      </c>
      <c r="C246" s="818" t="s">
        <v>380</v>
      </c>
      <c r="D246" s="818" t="s">
        <v>380</v>
      </c>
      <c r="E246" s="832" t="s">
        <v>380</v>
      </c>
      <c r="F246" s="832" t="s">
        <v>380</v>
      </c>
      <c r="G246" s="803" t="s">
        <v>380</v>
      </c>
      <c r="H246" s="796"/>
      <c r="I246" s="794"/>
      <c r="J246" s="818"/>
    </row>
    <row r="247" spans="1:10">
      <c r="A247" s="820" t="s">
        <v>354</v>
      </c>
      <c r="B247" s="806" t="s">
        <v>65</v>
      </c>
      <c r="C247" s="818" t="s">
        <v>380</v>
      </c>
      <c r="D247" s="818" t="s">
        <v>380</v>
      </c>
      <c r="E247" s="832" t="s">
        <v>380</v>
      </c>
      <c r="F247" s="832" t="s">
        <v>380</v>
      </c>
      <c r="G247" s="803" t="s">
        <v>380</v>
      </c>
      <c r="H247" s="796"/>
      <c r="I247" s="794"/>
      <c r="J247" s="794"/>
    </row>
    <row r="248" spans="1:10">
      <c r="A248" s="820" t="s">
        <v>355</v>
      </c>
      <c r="B248" s="806" t="s">
        <v>66</v>
      </c>
      <c r="C248" s="818" t="s">
        <v>380</v>
      </c>
      <c r="D248" s="818" t="s">
        <v>380</v>
      </c>
      <c r="E248" s="832" t="s">
        <v>380</v>
      </c>
      <c r="F248" s="832" t="s">
        <v>380</v>
      </c>
      <c r="G248" s="803" t="s">
        <v>380</v>
      </c>
      <c r="H248" s="796"/>
      <c r="I248" s="794"/>
      <c r="J248" s="794"/>
    </row>
    <row r="249" spans="1:10">
      <c r="A249" s="820" t="s">
        <v>356</v>
      </c>
      <c r="B249" s="806" t="s">
        <v>67</v>
      </c>
      <c r="C249" s="818" t="s">
        <v>380</v>
      </c>
      <c r="D249" s="818" t="s">
        <v>380</v>
      </c>
      <c r="E249" s="832" t="s">
        <v>380</v>
      </c>
      <c r="F249" s="832" t="s">
        <v>380</v>
      </c>
      <c r="G249" s="803" t="s">
        <v>380</v>
      </c>
      <c r="H249" s="796"/>
      <c r="I249" s="794"/>
      <c r="J249" s="794"/>
    </row>
    <row r="250" spans="1:10">
      <c r="A250" s="818" t="s">
        <v>357</v>
      </c>
      <c r="B250" s="806" t="s">
        <v>68</v>
      </c>
      <c r="C250" s="818" t="s">
        <v>380</v>
      </c>
      <c r="D250" s="818" t="s">
        <v>380</v>
      </c>
      <c r="E250" s="832" t="s">
        <v>380</v>
      </c>
      <c r="F250" s="832" t="s">
        <v>380</v>
      </c>
      <c r="G250" s="803" t="s">
        <v>380</v>
      </c>
      <c r="H250" s="796"/>
      <c r="I250" s="794"/>
      <c r="J250" s="794"/>
    </row>
    <row r="251" spans="1:10" ht="24.75">
      <c r="A251" s="820" t="s">
        <v>358</v>
      </c>
      <c r="B251" s="942" t="s">
        <v>183</v>
      </c>
      <c r="C251" s="818" t="s">
        <v>380</v>
      </c>
      <c r="D251" s="818" t="s">
        <v>380</v>
      </c>
      <c r="E251" s="832" t="s">
        <v>380</v>
      </c>
      <c r="F251" s="832" t="s">
        <v>380</v>
      </c>
      <c r="G251" s="803" t="s">
        <v>380</v>
      </c>
      <c r="H251" s="796"/>
      <c r="I251" s="794"/>
      <c r="J251" s="794"/>
    </row>
  </sheetData>
  <mergeCells count="82">
    <mergeCell ref="D18:E18"/>
    <mergeCell ref="D19:E19"/>
    <mergeCell ref="D20:E20"/>
    <mergeCell ref="D21:E21"/>
    <mergeCell ref="D22:E22"/>
    <mergeCell ref="D70:E70"/>
    <mergeCell ref="D39:E39"/>
    <mergeCell ref="A40:G40"/>
    <mergeCell ref="A41:G41"/>
    <mergeCell ref="D42:E42"/>
    <mergeCell ref="C43:E43"/>
    <mergeCell ref="D44:E44"/>
    <mergeCell ref="D45:E45"/>
    <mergeCell ref="D46:E46"/>
    <mergeCell ref="D48:E48"/>
    <mergeCell ref="D49:E49"/>
    <mergeCell ref="D56:E56"/>
    <mergeCell ref="D57:E57"/>
    <mergeCell ref="D58:E58"/>
    <mergeCell ref="A23:G23"/>
    <mergeCell ref="A24:G24"/>
    <mergeCell ref="D25:E25"/>
    <mergeCell ref="D26:E26"/>
    <mergeCell ref="D27:E27"/>
    <mergeCell ref="D34:E34"/>
    <mergeCell ref="D35:E35"/>
    <mergeCell ref="D36:E36"/>
    <mergeCell ref="D37:E37"/>
    <mergeCell ref="D38:E38"/>
    <mergeCell ref="D28:E28"/>
    <mergeCell ref="D29:E29"/>
    <mergeCell ref="D31:E31"/>
    <mergeCell ref="D32:E32"/>
    <mergeCell ref="D33:E33"/>
    <mergeCell ref="D86:E86"/>
    <mergeCell ref="D87:E87"/>
    <mergeCell ref="D61:E61"/>
    <mergeCell ref="D62:E62"/>
    <mergeCell ref="D63:E63"/>
    <mergeCell ref="D64:E64"/>
    <mergeCell ref="D65:E65"/>
    <mergeCell ref="D71:E71"/>
    <mergeCell ref="D73:E73"/>
    <mergeCell ref="D74:E74"/>
    <mergeCell ref="D75:E75"/>
    <mergeCell ref="D78:E78"/>
    <mergeCell ref="D66:E66"/>
    <mergeCell ref="D67:E67"/>
    <mergeCell ref="D68:E68"/>
    <mergeCell ref="D69:E69"/>
    <mergeCell ref="D88:E88"/>
    <mergeCell ref="D89:E89"/>
    <mergeCell ref="D90:E90"/>
    <mergeCell ref="D91:E91"/>
    <mergeCell ref="D92:E92"/>
    <mergeCell ref="D97:E97"/>
    <mergeCell ref="A145:G145"/>
    <mergeCell ref="B154:C154"/>
    <mergeCell ref="D93:E93"/>
    <mergeCell ref="D94:E94"/>
    <mergeCell ref="D95:E95"/>
    <mergeCell ref="A99:G99"/>
    <mergeCell ref="A101:A102"/>
    <mergeCell ref="B101:B102"/>
    <mergeCell ref="C101:E102"/>
    <mergeCell ref="G101:G102"/>
    <mergeCell ref="A237:G237"/>
    <mergeCell ref="A5:A6"/>
    <mergeCell ref="A7:A8"/>
    <mergeCell ref="A13:A14"/>
    <mergeCell ref="A16:G16"/>
    <mergeCell ref="D17:E17"/>
    <mergeCell ref="D192:E192"/>
    <mergeCell ref="D50:E50"/>
    <mergeCell ref="D51:E51"/>
    <mergeCell ref="D52:E52"/>
    <mergeCell ref="D54:E54"/>
    <mergeCell ref="D55:E55"/>
    <mergeCell ref="D59:E59"/>
    <mergeCell ref="D60:E60"/>
    <mergeCell ref="A144:G144"/>
    <mergeCell ref="D96:E96"/>
  </mergeCells>
  <hyperlinks>
    <hyperlink ref="B9"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52"/>
  <sheetViews>
    <sheetView topLeftCell="A26" workbookViewId="0">
      <selection activeCell="D38" sqref="D38:E38"/>
    </sheetView>
  </sheetViews>
  <sheetFormatPr defaultRowHeight="12.75"/>
  <cols>
    <col min="1" max="1" width="27.42578125" customWidth="1"/>
    <col min="2" max="2" width="59.85546875" customWidth="1"/>
    <col min="3" max="3" width="23.28515625" customWidth="1"/>
    <col min="4" max="4" width="19.5703125" customWidth="1"/>
  </cols>
  <sheetData>
    <row r="1" spans="1:10" ht="18">
      <c r="A1" s="775"/>
      <c r="B1" s="776" t="s">
        <v>241</v>
      </c>
      <c r="C1" s="776"/>
      <c r="D1" s="777" t="s">
        <v>393</v>
      </c>
      <c r="E1" s="778"/>
      <c r="F1" s="778"/>
      <c r="G1" s="776"/>
      <c r="H1" s="779"/>
      <c r="I1" s="780"/>
      <c r="J1" s="780"/>
    </row>
    <row r="2" spans="1:10">
      <c r="A2" s="781"/>
      <c r="B2" s="779"/>
      <c r="C2" s="781"/>
      <c r="D2" s="781"/>
      <c r="E2" s="781"/>
      <c r="F2" s="781"/>
      <c r="G2" s="779"/>
      <c r="H2" s="779"/>
      <c r="I2" s="780"/>
      <c r="J2" s="780"/>
    </row>
    <row r="3" spans="1:10" ht="15.75">
      <c r="A3" s="782" t="s">
        <v>161</v>
      </c>
      <c r="B3" s="783" t="s">
        <v>751</v>
      </c>
      <c r="C3" s="784"/>
      <c r="D3" s="785" t="s">
        <v>185</v>
      </c>
      <c r="E3" s="784"/>
      <c r="F3" s="784"/>
      <c r="G3" s="779"/>
      <c r="H3" s="779"/>
      <c r="I3" s="780"/>
      <c r="J3" s="780"/>
    </row>
    <row r="4" spans="1:10">
      <c r="A4" s="781"/>
      <c r="B4" s="779"/>
      <c r="C4" s="781"/>
      <c r="D4" s="781"/>
      <c r="E4" s="781"/>
      <c r="F4" s="781"/>
      <c r="G4" s="779"/>
      <c r="H4" s="779"/>
      <c r="I4" s="780"/>
      <c r="J4" s="780"/>
    </row>
    <row r="5" spans="1:10">
      <c r="A5" s="1265" t="s">
        <v>189</v>
      </c>
      <c r="B5" s="783" t="s">
        <v>772</v>
      </c>
      <c r="C5" s="784"/>
      <c r="D5" s="786" t="s">
        <v>186</v>
      </c>
      <c r="E5" s="784"/>
      <c r="F5" s="784"/>
      <c r="G5" s="779"/>
      <c r="H5" s="779"/>
      <c r="I5" s="780"/>
      <c r="J5" s="780"/>
    </row>
    <row r="6" spans="1:10">
      <c r="A6" s="1265"/>
      <c r="B6" s="784"/>
      <c r="C6" s="781"/>
      <c r="D6" s="787" t="s">
        <v>187</v>
      </c>
      <c r="E6" s="781"/>
      <c r="F6" s="781"/>
      <c r="G6" s="779"/>
      <c r="H6" s="779"/>
      <c r="I6" s="780"/>
      <c r="J6" s="780"/>
    </row>
    <row r="7" spans="1:10">
      <c r="A7" s="1265" t="s">
        <v>184</v>
      </c>
      <c r="B7" s="783" t="s">
        <v>773</v>
      </c>
      <c r="C7" s="784"/>
      <c r="D7" s="784"/>
      <c r="E7" s="784"/>
      <c r="F7" s="784"/>
      <c r="G7" s="779"/>
      <c r="H7" s="779"/>
      <c r="I7" s="780"/>
      <c r="J7" s="780"/>
    </row>
    <row r="8" spans="1:10">
      <c r="A8" s="1265"/>
      <c r="B8" s="779"/>
      <c r="C8" s="784"/>
      <c r="D8" s="787" t="s">
        <v>188</v>
      </c>
      <c r="E8" s="781"/>
      <c r="F8" s="781"/>
      <c r="G8" s="779"/>
      <c r="H8" s="779"/>
      <c r="I8" s="780"/>
      <c r="J8" s="780"/>
    </row>
    <row r="9" spans="1:10">
      <c r="A9" s="788" t="s">
        <v>190</v>
      </c>
      <c r="B9" s="790" t="s">
        <v>774</v>
      </c>
      <c r="C9" s="784"/>
      <c r="D9" s="781"/>
      <c r="E9" s="781"/>
      <c r="F9" s="781"/>
      <c r="G9" s="779"/>
      <c r="H9" s="779"/>
      <c r="I9" s="780"/>
      <c r="J9" s="780"/>
    </row>
    <row r="10" spans="1:10">
      <c r="A10" s="778"/>
      <c r="B10" s="779"/>
      <c r="C10" s="781"/>
      <c r="D10" s="791" t="s">
        <v>242</v>
      </c>
      <c r="E10" s="781"/>
      <c r="F10" s="792"/>
      <c r="G10" s="779"/>
      <c r="H10" s="779"/>
      <c r="I10" s="780"/>
      <c r="J10" s="780"/>
    </row>
    <row r="11" spans="1:10">
      <c r="A11" s="793" t="s">
        <v>162</v>
      </c>
      <c r="B11" s="783" t="s">
        <v>775</v>
      </c>
      <c r="C11" s="784"/>
      <c r="D11" s="781"/>
      <c r="E11" s="781"/>
      <c r="F11" s="781"/>
      <c r="G11" s="779"/>
      <c r="H11" s="779"/>
      <c r="I11" s="780"/>
      <c r="J11" s="780"/>
    </row>
    <row r="12" spans="1:10">
      <c r="A12" s="781"/>
      <c r="B12" s="779"/>
      <c r="C12" s="781"/>
      <c r="D12" s="778"/>
      <c r="E12" s="781"/>
      <c r="F12" s="781"/>
      <c r="G12" s="779"/>
      <c r="H12" s="779"/>
      <c r="I12" s="780"/>
      <c r="J12" s="780"/>
    </row>
    <row r="13" spans="1:10">
      <c r="A13" s="1266" t="s">
        <v>163</v>
      </c>
      <c r="B13" s="783" t="s">
        <v>776</v>
      </c>
      <c r="C13" s="784"/>
      <c r="D13" s="784"/>
      <c r="E13" s="781"/>
      <c r="F13" s="781"/>
      <c r="G13" s="779"/>
      <c r="H13" s="779"/>
      <c r="I13" s="780"/>
      <c r="J13" s="780"/>
    </row>
    <row r="14" spans="1:10">
      <c r="A14" s="1266"/>
      <c r="B14" s="779"/>
      <c r="C14" s="779"/>
      <c r="D14" s="779"/>
      <c r="E14" s="779"/>
      <c r="F14" s="779"/>
      <c r="G14" s="779"/>
      <c r="H14" s="779"/>
      <c r="I14" s="780"/>
      <c r="J14" s="780"/>
    </row>
    <row r="15" spans="1:10">
      <c r="A15" s="780"/>
      <c r="B15" s="780"/>
      <c r="C15" s="780"/>
      <c r="D15" s="780"/>
      <c r="E15" s="780"/>
      <c r="F15" s="780"/>
      <c r="G15" s="780"/>
      <c r="H15" s="780"/>
      <c r="I15" s="780"/>
      <c r="J15" s="780"/>
    </row>
    <row r="16" spans="1:10" ht="13.5">
      <c r="A16" s="1262" t="s">
        <v>359</v>
      </c>
      <c r="B16" s="1267"/>
      <c r="C16" s="1268"/>
      <c r="D16" s="1268"/>
      <c r="E16" s="1268"/>
      <c r="F16" s="1268"/>
      <c r="G16" s="1264"/>
      <c r="H16" s="789"/>
      <c r="I16" s="780"/>
      <c r="J16" s="780"/>
    </row>
    <row r="17" spans="1:10">
      <c r="A17" s="774" t="s">
        <v>86</v>
      </c>
      <c r="B17" s="774" t="s">
        <v>8</v>
      </c>
      <c r="C17" s="774" t="s">
        <v>0</v>
      </c>
      <c r="D17" s="1269" t="s">
        <v>149</v>
      </c>
      <c r="E17" s="1269"/>
      <c r="F17" s="952"/>
      <c r="G17" s="953"/>
      <c r="H17" s="954"/>
      <c r="I17" s="780"/>
      <c r="J17" s="780"/>
    </row>
    <row r="18" spans="1:10">
      <c r="A18" s="774">
        <v>1</v>
      </c>
      <c r="B18" s="955" t="s">
        <v>1</v>
      </c>
      <c r="C18" s="956"/>
      <c r="D18" s="1270"/>
      <c r="E18" s="1270"/>
      <c r="F18" s="957"/>
      <c r="G18" s="958"/>
      <c r="H18" s="784"/>
      <c r="I18" s="780"/>
      <c r="J18" s="780"/>
    </row>
    <row r="19" spans="1:10" ht="32.25" customHeight="1">
      <c r="A19" s="959" t="s">
        <v>111</v>
      </c>
      <c r="B19" s="960" t="s">
        <v>228</v>
      </c>
      <c r="C19" s="956">
        <v>9</v>
      </c>
      <c r="D19" s="1270"/>
      <c r="E19" s="1270"/>
      <c r="F19" s="957"/>
      <c r="G19" s="958"/>
      <c r="H19" s="784"/>
      <c r="I19" s="780"/>
      <c r="J19" s="780"/>
    </row>
    <row r="20" spans="1:10" ht="26.25" customHeight="1">
      <c r="A20" s="959" t="s">
        <v>112</v>
      </c>
      <c r="B20" s="960" t="s">
        <v>229</v>
      </c>
      <c r="C20" s="956">
        <v>27</v>
      </c>
      <c r="D20" s="1271" t="s">
        <v>778</v>
      </c>
      <c r="E20" s="1271"/>
      <c r="F20" s="957"/>
      <c r="G20" s="958"/>
      <c r="H20" s="784"/>
      <c r="I20" s="780"/>
      <c r="J20" s="780"/>
    </row>
    <row r="21" spans="1:10" ht="25.5">
      <c r="A21" s="959" t="s">
        <v>113</v>
      </c>
      <c r="B21" s="961" t="s">
        <v>230</v>
      </c>
      <c r="C21" s="956">
        <v>2</v>
      </c>
      <c r="D21" s="1270"/>
      <c r="E21" s="1270"/>
      <c r="F21" s="957"/>
      <c r="G21" s="958"/>
      <c r="H21" s="784"/>
      <c r="I21" s="780"/>
      <c r="J21" s="780"/>
    </row>
    <row r="22" spans="1:10" ht="25.5">
      <c r="A22" s="959" t="s">
        <v>114</v>
      </c>
      <c r="B22" s="961" t="s">
        <v>231</v>
      </c>
      <c r="C22" s="962">
        <v>5</v>
      </c>
      <c r="D22" s="1270"/>
      <c r="E22" s="1270"/>
      <c r="F22" s="957"/>
      <c r="G22" s="958"/>
      <c r="H22" s="784"/>
      <c r="I22" s="780"/>
      <c r="J22" s="780"/>
    </row>
    <row r="23" spans="1:10">
      <c r="A23" s="1272"/>
      <c r="B23" s="1273"/>
      <c r="C23" s="1268"/>
      <c r="D23" s="1268"/>
      <c r="E23" s="1268"/>
      <c r="F23" s="1268"/>
      <c r="G23" s="1264"/>
      <c r="H23" s="789"/>
      <c r="I23" s="780"/>
      <c r="J23" s="780"/>
    </row>
    <row r="24" spans="1:10" ht="13.5">
      <c r="A24" s="1262" t="s">
        <v>360</v>
      </c>
      <c r="B24" s="1263"/>
      <c r="C24" s="1263"/>
      <c r="D24" s="1263"/>
      <c r="E24" s="1263"/>
      <c r="F24" s="1263"/>
      <c r="G24" s="1264"/>
      <c r="H24" s="789"/>
      <c r="I24" s="780"/>
      <c r="J24" s="780"/>
    </row>
    <row r="25" spans="1:10">
      <c r="A25" s="774" t="s">
        <v>86</v>
      </c>
      <c r="B25" s="774" t="s">
        <v>8</v>
      </c>
      <c r="C25" s="774" t="s">
        <v>2</v>
      </c>
      <c r="D25" s="1269" t="s">
        <v>149</v>
      </c>
      <c r="E25" s="1269"/>
      <c r="F25" s="952"/>
      <c r="G25" s="953"/>
      <c r="H25" s="954"/>
      <c r="I25" s="780"/>
      <c r="J25" s="780"/>
    </row>
    <row r="26" spans="1:10">
      <c r="A26" s="774">
        <v>2</v>
      </c>
      <c r="B26" s="955" t="s">
        <v>243</v>
      </c>
      <c r="C26" s="963">
        <v>12</v>
      </c>
      <c r="D26" s="1270"/>
      <c r="E26" s="1270"/>
      <c r="F26" s="957"/>
      <c r="G26" s="958"/>
      <c r="H26" s="784"/>
      <c r="I26" s="780"/>
      <c r="J26" s="780"/>
    </row>
    <row r="27" spans="1:10">
      <c r="A27" s="956" t="s">
        <v>3</v>
      </c>
      <c r="B27" s="964" t="s">
        <v>4</v>
      </c>
      <c r="C27" s="965">
        <v>10</v>
      </c>
      <c r="D27" s="1270"/>
      <c r="E27" s="1270"/>
      <c r="F27" s="957"/>
      <c r="G27" s="958"/>
      <c r="H27" s="784"/>
      <c r="I27" s="780"/>
      <c r="J27" s="780"/>
    </row>
    <row r="28" spans="1:10">
      <c r="A28" s="959" t="s">
        <v>5</v>
      </c>
      <c r="B28" s="964" t="s">
        <v>144</v>
      </c>
      <c r="C28" s="965">
        <v>1</v>
      </c>
      <c r="D28" s="1270"/>
      <c r="E28" s="1270"/>
      <c r="F28" s="957"/>
      <c r="G28" s="958"/>
      <c r="H28" s="784"/>
      <c r="I28" s="780"/>
      <c r="J28" s="780"/>
    </row>
    <row r="29" spans="1:10">
      <c r="A29" s="956" t="s">
        <v>145</v>
      </c>
      <c r="B29" s="964" t="s">
        <v>146</v>
      </c>
      <c r="C29" s="965">
        <v>1</v>
      </c>
      <c r="D29" s="1274"/>
      <c r="E29" s="1275"/>
      <c r="F29" s="966"/>
      <c r="G29" s="958"/>
      <c r="H29" s="784"/>
      <c r="I29" s="780"/>
      <c r="J29" s="780"/>
    </row>
    <row r="30" spans="1:10">
      <c r="A30" s="956" t="s">
        <v>244</v>
      </c>
      <c r="B30" s="964" t="s">
        <v>245</v>
      </c>
      <c r="C30" s="965">
        <v>0</v>
      </c>
      <c r="D30" s="967"/>
      <c r="E30" s="966"/>
      <c r="F30" s="966"/>
      <c r="G30" s="958"/>
      <c r="H30" s="784"/>
      <c r="I30" s="780"/>
      <c r="J30" s="780"/>
    </row>
    <row r="31" spans="1:10">
      <c r="A31" s="774">
        <v>3</v>
      </c>
      <c r="B31" s="955" t="s">
        <v>14</v>
      </c>
      <c r="C31" s="963">
        <v>24.5</v>
      </c>
      <c r="D31" s="1270"/>
      <c r="E31" s="1270"/>
      <c r="F31" s="957"/>
      <c r="G31" s="958"/>
      <c r="H31" s="784"/>
      <c r="I31" s="780"/>
      <c r="J31" s="780"/>
    </row>
    <row r="32" spans="1:10">
      <c r="A32" s="956" t="s">
        <v>6</v>
      </c>
      <c r="B32" s="964" t="s">
        <v>7</v>
      </c>
      <c r="C32" s="965">
        <v>20</v>
      </c>
      <c r="D32" s="1270"/>
      <c r="E32" s="1270"/>
      <c r="F32" s="957"/>
      <c r="G32" s="958"/>
      <c r="H32" s="784"/>
      <c r="I32" s="780"/>
      <c r="J32" s="780"/>
    </row>
    <row r="33" spans="1:10">
      <c r="A33" s="959" t="s">
        <v>12</v>
      </c>
      <c r="B33" s="964" t="s">
        <v>15</v>
      </c>
      <c r="C33" s="965">
        <v>2</v>
      </c>
      <c r="D33" s="1270"/>
      <c r="E33" s="1270"/>
      <c r="F33" s="957"/>
      <c r="G33" s="958"/>
      <c r="H33" s="784"/>
      <c r="I33" s="780"/>
      <c r="J33" s="780"/>
    </row>
    <row r="34" spans="1:10">
      <c r="A34" s="959" t="s">
        <v>13</v>
      </c>
      <c r="B34" s="964" t="s">
        <v>148</v>
      </c>
      <c r="C34" s="965">
        <v>2.5</v>
      </c>
      <c r="D34" s="1270"/>
      <c r="E34" s="1270"/>
      <c r="F34" s="957"/>
      <c r="G34" s="958"/>
      <c r="H34" s="784"/>
      <c r="I34" s="780"/>
      <c r="J34" s="780"/>
    </row>
    <row r="35" spans="1:10">
      <c r="A35" s="774">
        <v>4</v>
      </c>
      <c r="B35" s="968" t="s">
        <v>17</v>
      </c>
      <c r="C35" s="965">
        <v>0</v>
      </c>
      <c r="D35" s="1270"/>
      <c r="E35" s="1270"/>
      <c r="F35" s="957"/>
      <c r="G35" s="958"/>
      <c r="H35" s="784"/>
      <c r="I35" s="780"/>
      <c r="J35" s="780"/>
    </row>
    <row r="36" spans="1:10">
      <c r="A36" s="959" t="s">
        <v>16</v>
      </c>
      <c r="B36" s="964" t="s">
        <v>84</v>
      </c>
      <c r="C36" s="965">
        <v>0</v>
      </c>
      <c r="D36" s="1270"/>
      <c r="E36" s="1270"/>
      <c r="F36" s="957"/>
      <c r="G36" s="958"/>
      <c r="H36" s="784"/>
      <c r="I36" s="780"/>
      <c r="J36" s="780"/>
    </row>
    <row r="37" spans="1:10" ht="25.5">
      <c r="A37" s="774">
        <v>5</v>
      </c>
      <c r="B37" s="969" t="s">
        <v>26</v>
      </c>
      <c r="C37" s="965">
        <v>23.9</v>
      </c>
      <c r="D37" s="1270"/>
      <c r="E37" s="1270"/>
      <c r="F37" s="957"/>
      <c r="G37" s="958"/>
      <c r="H37" s="784"/>
      <c r="I37" s="780"/>
      <c r="J37" s="780"/>
    </row>
    <row r="38" spans="1:10">
      <c r="A38" s="970" t="s">
        <v>147</v>
      </c>
      <c r="B38" s="968" t="s">
        <v>150</v>
      </c>
      <c r="C38" s="965">
        <v>0.96</v>
      </c>
      <c r="D38" s="1269"/>
      <c r="E38" s="1269"/>
      <c r="F38" s="952"/>
      <c r="G38" s="958"/>
      <c r="H38" s="784"/>
      <c r="I38" s="780"/>
      <c r="J38" s="780"/>
    </row>
    <row r="39" spans="1:10">
      <c r="A39" s="774">
        <v>6</v>
      </c>
      <c r="B39" s="955" t="s">
        <v>85</v>
      </c>
      <c r="C39" s="963">
        <v>60.4</v>
      </c>
      <c r="D39" s="1270"/>
      <c r="E39" s="1270"/>
      <c r="F39" s="957"/>
      <c r="G39" s="958"/>
      <c r="H39" s="784"/>
      <c r="I39" s="780"/>
      <c r="J39" s="780"/>
    </row>
    <row r="40" spans="1:10">
      <c r="A40" s="1272"/>
      <c r="B40" s="1273"/>
      <c r="C40" s="1268"/>
      <c r="D40" s="1268"/>
      <c r="E40" s="1268"/>
      <c r="F40" s="1268"/>
      <c r="G40" s="1264"/>
      <c r="H40" s="789"/>
      <c r="I40" s="780"/>
      <c r="J40" s="780"/>
    </row>
    <row r="41" spans="1:10" ht="15.75">
      <c r="A41" s="1262" t="s">
        <v>361</v>
      </c>
      <c r="B41" s="1276"/>
      <c r="C41" s="1276"/>
      <c r="D41" s="1276"/>
      <c r="E41" s="1276"/>
      <c r="F41" s="1276"/>
      <c r="G41" s="1277"/>
      <c r="H41" s="971"/>
      <c r="I41" s="780"/>
      <c r="J41" s="780"/>
    </row>
    <row r="42" spans="1:10">
      <c r="A42" s="774" t="s">
        <v>86</v>
      </c>
      <c r="B42" s="774" t="s">
        <v>8</v>
      </c>
      <c r="C42" s="774" t="s">
        <v>9</v>
      </c>
      <c r="D42" s="1269" t="s">
        <v>149</v>
      </c>
      <c r="E42" s="1269"/>
      <c r="F42" s="952"/>
      <c r="G42" s="953"/>
      <c r="H42" s="954"/>
      <c r="I42" s="780"/>
      <c r="J42" s="780"/>
    </row>
    <row r="43" spans="1:10">
      <c r="A43" s="774"/>
      <c r="B43" s="972" t="s">
        <v>10</v>
      </c>
      <c r="C43" s="1270"/>
      <c r="D43" s="1270"/>
      <c r="E43" s="1270"/>
      <c r="F43" s="957"/>
      <c r="G43" s="958"/>
      <c r="H43" s="784"/>
      <c r="I43" s="780"/>
      <c r="J43" s="780"/>
    </row>
    <row r="44" spans="1:10">
      <c r="A44" s="774">
        <v>7</v>
      </c>
      <c r="B44" s="955" t="s">
        <v>246</v>
      </c>
      <c r="C44" s="880">
        <v>953442</v>
      </c>
      <c r="D44" s="1270"/>
      <c r="E44" s="1270"/>
      <c r="F44" s="957"/>
      <c r="G44" s="958"/>
      <c r="H44" s="784"/>
      <c r="I44" s="780"/>
      <c r="J44" s="780"/>
    </row>
    <row r="45" spans="1:10">
      <c r="A45" s="956" t="s">
        <v>11</v>
      </c>
      <c r="B45" s="964" t="s">
        <v>19</v>
      </c>
      <c r="C45" s="973">
        <v>782842</v>
      </c>
      <c r="D45" s="1270"/>
      <c r="E45" s="1270"/>
      <c r="F45" s="957"/>
      <c r="G45" s="958"/>
      <c r="H45" s="784"/>
      <c r="I45" s="780"/>
      <c r="J45" s="780"/>
    </row>
    <row r="46" spans="1:10">
      <c r="A46" s="959" t="s">
        <v>18</v>
      </c>
      <c r="B46" s="964" t="s">
        <v>151</v>
      </c>
      <c r="C46" s="973">
        <v>170600</v>
      </c>
      <c r="D46" s="1270"/>
      <c r="E46" s="1270"/>
      <c r="F46" s="957"/>
      <c r="G46" s="958"/>
      <c r="H46" s="784"/>
      <c r="I46" s="780"/>
      <c r="J46" s="780"/>
    </row>
    <row r="47" spans="1:10">
      <c r="A47" s="956" t="s">
        <v>247</v>
      </c>
      <c r="B47" s="964" t="s">
        <v>248</v>
      </c>
      <c r="C47" s="974">
        <v>0</v>
      </c>
      <c r="D47" s="957"/>
      <c r="E47" s="957"/>
      <c r="F47" s="957"/>
      <c r="G47" s="958"/>
      <c r="H47" s="784"/>
      <c r="I47" s="780"/>
      <c r="J47" s="780"/>
    </row>
    <row r="48" spans="1:10">
      <c r="A48" s="774">
        <v>8</v>
      </c>
      <c r="B48" s="955" t="s">
        <v>109</v>
      </c>
      <c r="C48" s="880">
        <v>1056044</v>
      </c>
      <c r="D48" s="1270"/>
      <c r="E48" s="1270"/>
      <c r="F48" s="957"/>
      <c r="G48" s="958"/>
      <c r="H48" s="784"/>
      <c r="I48" s="780"/>
      <c r="J48" s="780"/>
    </row>
    <row r="49" spans="1:10">
      <c r="A49" s="975" t="s">
        <v>20</v>
      </c>
      <c r="B49" s="976" t="s">
        <v>23</v>
      </c>
      <c r="C49" s="973">
        <v>848054</v>
      </c>
      <c r="D49" s="1270"/>
      <c r="E49" s="1270"/>
      <c r="F49" s="957"/>
      <c r="G49" s="958"/>
      <c r="H49" s="784"/>
      <c r="I49" s="780"/>
      <c r="J49" s="780"/>
    </row>
    <row r="50" spans="1:10">
      <c r="A50" s="959" t="s">
        <v>21</v>
      </c>
      <c r="B50" s="964" t="s">
        <v>24</v>
      </c>
      <c r="C50" s="973">
        <v>76549</v>
      </c>
      <c r="D50" s="1270"/>
      <c r="E50" s="1270"/>
      <c r="F50" s="957"/>
      <c r="G50" s="958"/>
      <c r="H50" s="784"/>
      <c r="I50" s="780"/>
      <c r="J50" s="780"/>
    </row>
    <row r="51" spans="1:10">
      <c r="A51" s="959" t="s">
        <v>22</v>
      </c>
      <c r="B51" s="964" t="s">
        <v>25</v>
      </c>
      <c r="C51" s="973">
        <v>131441</v>
      </c>
      <c r="D51" s="1270"/>
      <c r="E51" s="1270"/>
      <c r="F51" s="957"/>
      <c r="G51" s="958"/>
      <c r="H51" s="784"/>
      <c r="I51" s="780"/>
      <c r="J51" s="780"/>
    </row>
    <row r="52" spans="1:10" ht="25.5">
      <c r="A52" s="977">
        <v>9</v>
      </c>
      <c r="B52" s="978" t="s">
        <v>27</v>
      </c>
      <c r="C52" s="979">
        <v>295511</v>
      </c>
      <c r="D52" s="1270"/>
      <c r="E52" s="1270"/>
      <c r="F52" s="957"/>
      <c r="G52" s="958"/>
      <c r="H52" s="784"/>
      <c r="I52" s="780"/>
      <c r="J52" s="780"/>
    </row>
    <row r="53" spans="1:10">
      <c r="A53" s="977">
        <v>10</v>
      </c>
      <c r="B53" s="978" t="s">
        <v>249</v>
      </c>
      <c r="C53" s="979">
        <v>2304997</v>
      </c>
      <c r="D53" s="967"/>
      <c r="E53" s="980"/>
      <c r="F53" s="980"/>
      <c r="G53" s="958"/>
      <c r="H53" s="784"/>
      <c r="I53" s="780"/>
      <c r="J53" s="780"/>
    </row>
    <row r="54" spans="1:10">
      <c r="A54" s="977"/>
      <c r="B54" s="978"/>
      <c r="C54" s="973"/>
      <c r="D54" s="1274"/>
      <c r="E54" s="1278"/>
      <c r="F54" s="980"/>
      <c r="G54" s="958"/>
      <c r="H54" s="784"/>
      <c r="I54" s="780"/>
      <c r="J54" s="780"/>
    </row>
    <row r="55" spans="1:10">
      <c r="A55" s="981"/>
      <c r="B55" s="972" t="s">
        <v>250</v>
      </c>
      <c r="C55" s="982"/>
      <c r="D55" s="1269"/>
      <c r="E55" s="1270"/>
      <c r="F55" s="957"/>
      <c r="G55" s="958"/>
      <c r="H55" s="784"/>
      <c r="I55" s="780"/>
      <c r="J55" s="780"/>
    </row>
    <row r="56" spans="1:10" ht="25.5">
      <c r="A56" s="983">
        <v>11</v>
      </c>
      <c r="B56" s="984" t="s">
        <v>251</v>
      </c>
      <c r="C56" s="886">
        <v>288279</v>
      </c>
      <c r="D56" s="1270"/>
      <c r="E56" s="1270"/>
      <c r="F56" s="957"/>
      <c r="G56" s="958"/>
      <c r="H56" s="784"/>
      <c r="I56" s="780"/>
      <c r="J56" s="780"/>
    </row>
    <row r="57" spans="1:10">
      <c r="A57" s="985" t="s">
        <v>30</v>
      </c>
      <c r="B57" s="986" t="s">
        <v>28</v>
      </c>
      <c r="C57" s="973">
        <v>190646</v>
      </c>
      <c r="D57" s="1270"/>
      <c r="E57" s="1270"/>
      <c r="F57" s="957"/>
      <c r="G57" s="958"/>
      <c r="H57" s="784"/>
      <c r="I57" s="780"/>
      <c r="J57" s="780"/>
    </row>
    <row r="58" spans="1:10">
      <c r="A58" s="985" t="s">
        <v>32</v>
      </c>
      <c r="B58" s="986" t="s">
        <v>363</v>
      </c>
      <c r="C58" s="973">
        <v>0</v>
      </c>
      <c r="D58" s="1270"/>
      <c r="E58" s="1270"/>
      <c r="F58" s="957"/>
      <c r="G58" s="958"/>
      <c r="H58" s="784"/>
      <c r="I58" s="780"/>
      <c r="J58" s="780"/>
    </row>
    <row r="59" spans="1:10">
      <c r="A59" s="985" t="s">
        <v>34</v>
      </c>
      <c r="B59" s="986" t="s">
        <v>29</v>
      </c>
      <c r="C59" s="973">
        <v>97633</v>
      </c>
      <c r="D59" s="1270"/>
      <c r="E59" s="1270"/>
      <c r="F59" s="957"/>
      <c r="G59" s="958"/>
      <c r="H59" s="784"/>
      <c r="I59" s="780"/>
      <c r="J59" s="780"/>
    </row>
    <row r="60" spans="1:10" ht="38.25">
      <c r="A60" s="983">
        <v>12</v>
      </c>
      <c r="B60" s="984" t="s">
        <v>252</v>
      </c>
      <c r="C60" s="987">
        <v>840541</v>
      </c>
      <c r="D60" s="1270"/>
      <c r="E60" s="1270"/>
      <c r="F60" s="957"/>
      <c r="G60" s="958"/>
      <c r="H60" s="784"/>
      <c r="I60" s="780"/>
      <c r="J60" s="780"/>
    </row>
    <row r="61" spans="1:10">
      <c r="A61" s="985" t="s">
        <v>36</v>
      </c>
      <c r="B61" s="986" t="s">
        <v>31</v>
      </c>
      <c r="C61" s="973">
        <v>212848</v>
      </c>
      <c r="D61" s="1270"/>
      <c r="E61" s="1270"/>
      <c r="F61" s="957"/>
      <c r="G61" s="958"/>
      <c r="H61" s="784"/>
      <c r="I61" s="780"/>
      <c r="J61" s="780"/>
    </row>
    <row r="62" spans="1:10">
      <c r="A62" s="985" t="s">
        <v>38</v>
      </c>
      <c r="B62" s="986" t="s">
        <v>206</v>
      </c>
      <c r="C62" s="973">
        <v>602404</v>
      </c>
      <c r="D62" s="1270"/>
      <c r="E62" s="1270"/>
      <c r="F62" s="957"/>
      <c r="G62" s="958"/>
      <c r="H62" s="784"/>
      <c r="I62" s="780"/>
      <c r="J62" s="780"/>
    </row>
    <row r="63" spans="1:10">
      <c r="A63" s="985" t="s">
        <v>253</v>
      </c>
      <c r="B63" s="986" t="s">
        <v>33</v>
      </c>
      <c r="C63" s="973">
        <v>597328</v>
      </c>
      <c r="D63" s="1270"/>
      <c r="E63" s="1270"/>
      <c r="F63" s="957"/>
      <c r="G63" s="958"/>
      <c r="H63" s="784"/>
      <c r="I63" s="780"/>
      <c r="J63" s="780"/>
    </row>
    <row r="64" spans="1:10">
      <c r="A64" s="985" t="s">
        <v>39</v>
      </c>
      <c r="B64" s="986" t="s">
        <v>35</v>
      </c>
      <c r="C64" s="973">
        <v>23372</v>
      </c>
      <c r="D64" s="1270"/>
      <c r="E64" s="1270"/>
      <c r="F64" s="957"/>
      <c r="G64" s="958"/>
      <c r="H64" s="784"/>
      <c r="I64" s="780"/>
      <c r="J64" s="780"/>
    </row>
    <row r="65" spans="1:10">
      <c r="A65" s="988" t="s">
        <v>254</v>
      </c>
      <c r="B65" s="986" t="s">
        <v>153</v>
      </c>
      <c r="C65" s="973">
        <v>1917</v>
      </c>
      <c r="D65" s="1270"/>
      <c r="E65" s="1270"/>
      <c r="F65" s="957"/>
      <c r="G65" s="958"/>
      <c r="H65" s="784"/>
      <c r="I65" s="780"/>
      <c r="J65" s="780"/>
    </row>
    <row r="66" spans="1:10">
      <c r="A66" s="988" t="s">
        <v>255</v>
      </c>
      <c r="B66" s="989" t="s">
        <v>216</v>
      </c>
      <c r="C66" s="973">
        <v>0</v>
      </c>
      <c r="D66" s="1270"/>
      <c r="E66" s="1270"/>
      <c r="F66" s="957"/>
      <c r="G66" s="958"/>
      <c r="H66" s="784"/>
      <c r="I66" s="780"/>
      <c r="J66" s="780"/>
    </row>
    <row r="67" spans="1:10">
      <c r="A67" s="983">
        <v>13</v>
      </c>
      <c r="B67" s="990" t="s">
        <v>256</v>
      </c>
      <c r="C67" s="987">
        <v>6214</v>
      </c>
      <c r="D67" s="1270"/>
      <c r="E67" s="1270"/>
      <c r="F67" s="957"/>
      <c r="G67" s="958"/>
      <c r="H67" s="784"/>
      <c r="I67" s="780"/>
      <c r="J67" s="780"/>
    </row>
    <row r="68" spans="1:10">
      <c r="A68" s="985" t="s">
        <v>156</v>
      </c>
      <c r="B68" s="989" t="s">
        <v>40</v>
      </c>
      <c r="C68" s="973">
        <v>286</v>
      </c>
      <c r="D68" s="1270"/>
      <c r="E68" s="1270"/>
      <c r="F68" s="957"/>
      <c r="G68" s="958"/>
      <c r="H68" s="784"/>
      <c r="I68" s="780"/>
      <c r="J68" s="780"/>
    </row>
    <row r="69" spans="1:10">
      <c r="A69" s="985" t="s">
        <v>157</v>
      </c>
      <c r="B69" s="989" t="s">
        <v>41</v>
      </c>
      <c r="C69" s="973">
        <v>5928</v>
      </c>
      <c r="D69" s="1270"/>
      <c r="E69" s="1270"/>
      <c r="F69" s="957"/>
      <c r="G69" s="958"/>
      <c r="H69" s="784"/>
      <c r="I69" s="780"/>
      <c r="J69" s="780"/>
    </row>
    <row r="70" spans="1:10">
      <c r="A70" s="981">
        <v>14</v>
      </c>
      <c r="B70" s="953" t="s">
        <v>257</v>
      </c>
      <c r="C70" s="987">
        <v>789</v>
      </c>
      <c r="D70" s="1270"/>
      <c r="E70" s="1270"/>
      <c r="F70" s="957"/>
      <c r="G70" s="958"/>
      <c r="H70" s="784"/>
      <c r="I70" s="780"/>
      <c r="J70" s="780"/>
    </row>
    <row r="71" spans="1:10">
      <c r="A71" s="991" t="s">
        <v>42</v>
      </c>
      <c r="B71" s="992" t="s">
        <v>155</v>
      </c>
      <c r="C71" s="973">
        <v>473</v>
      </c>
      <c r="D71" s="1269"/>
      <c r="E71" s="1269"/>
      <c r="F71" s="952"/>
      <c r="G71" s="958"/>
      <c r="H71" s="784"/>
      <c r="I71" s="780"/>
      <c r="J71" s="780"/>
    </row>
    <row r="72" spans="1:10">
      <c r="A72" s="991" t="s">
        <v>43</v>
      </c>
      <c r="B72" s="993" t="s">
        <v>258</v>
      </c>
      <c r="C72" s="973">
        <v>0</v>
      </c>
      <c r="D72" s="952"/>
      <c r="E72" s="952"/>
      <c r="F72" s="952"/>
      <c r="G72" s="958"/>
      <c r="H72" s="784"/>
      <c r="I72" s="780"/>
      <c r="J72" s="780"/>
    </row>
    <row r="73" spans="1:10">
      <c r="A73" s="991" t="s">
        <v>45</v>
      </c>
      <c r="B73" s="994" t="s">
        <v>44</v>
      </c>
      <c r="C73" s="973">
        <v>0</v>
      </c>
      <c r="D73" s="1270"/>
      <c r="E73" s="1270"/>
      <c r="F73" s="957"/>
      <c r="G73" s="958"/>
      <c r="H73" s="784"/>
      <c r="I73" s="780"/>
      <c r="J73" s="780"/>
    </row>
    <row r="74" spans="1:10">
      <c r="A74" s="991" t="s">
        <v>154</v>
      </c>
      <c r="B74" s="994" t="s">
        <v>46</v>
      </c>
      <c r="C74" s="973">
        <v>0</v>
      </c>
      <c r="D74" s="1270"/>
      <c r="E74" s="1270"/>
      <c r="F74" s="957"/>
      <c r="G74" s="958"/>
      <c r="H74" s="784"/>
      <c r="I74" s="780"/>
      <c r="J74" s="780"/>
    </row>
    <row r="75" spans="1:10">
      <c r="A75" s="995" t="s">
        <v>259</v>
      </c>
      <c r="B75" s="994" t="s">
        <v>104</v>
      </c>
      <c r="C75" s="973">
        <v>316</v>
      </c>
      <c r="D75" s="1270" t="s">
        <v>777</v>
      </c>
      <c r="E75" s="1270"/>
      <c r="F75" s="957"/>
      <c r="G75" s="958"/>
      <c r="H75" s="784"/>
      <c r="I75" s="780"/>
      <c r="J75" s="780"/>
    </row>
    <row r="76" spans="1:10">
      <c r="A76" s="996">
        <v>15</v>
      </c>
      <c r="B76" s="953" t="s">
        <v>260</v>
      </c>
      <c r="C76" s="997">
        <v>1135823</v>
      </c>
      <c r="D76" s="957"/>
      <c r="E76" s="957"/>
      <c r="F76" s="957"/>
      <c r="G76" s="958"/>
      <c r="H76" s="784"/>
      <c r="I76" s="780"/>
      <c r="J76" s="780"/>
    </row>
    <row r="77" spans="1:10">
      <c r="A77" s="995"/>
      <c r="B77" s="953"/>
      <c r="C77" s="997"/>
      <c r="D77" s="957"/>
      <c r="E77" s="957"/>
      <c r="F77" s="957"/>
      <c r="G77" s="958"/>
      <c r="H77" s="784"/>
      <c r="I77" s="780"/>
      <c r="J77" s="780"/>
    </row>
    <row r="78" spans="1:10">
      <c r="A78" s="995"/>
      <c r="B78" s="998" t="s">
        <v>261</v>
      </c>
      <c r="C78" s="973"/>
      <c r="D78" s="1270"/>
      <c r="E78" s="1270"/>
      <c r="F78" s="957"/>
      <c r="G78" s="958"/>
      <c r="H78" s="784"/>
      <c r="I78" s="780"/>
      <c r="J78" s="780"/>
    </row>
    <row r="79" spans="1:10">
      <c r="A79" s="995"/>
      <c r="B79" s="780"/>
      <c r="C79" s="973"/>
      <c r="D79" s="957"/>
      <c r="E79" s="957"/>
      <c r="F79" s="957"/>
      <c r="G79" s="958"/>
      <c r="H79" s="784"/>
      <c r="I79" s="780"/>
      <c r="J79" s="780"/>
    </row>
    <row r="80" spans="1:10">
      <c r="A80" s="981">
        <v>16</v>
      </c>
      <c r="B80" s="999" t="s">
        <v>262</v>
      </c>
      <c r="C80" s="974">
        <v>15585</v>
      </c>
      <c r="D80" s="957"/>
      <c r="E80" s="957"/>
      <c r="F80" s="957"/>
      <c r="G80" s="958"/>
      <c r="H80" s="784"/>
      <c r="I80" s="780"/>
      <c r="J80" s="780"/>
    </row>
    <row r="81" spans="1:10">
      <c r="A81" s="995" t="s">
        <v>263</v>
      </c>
      <c r="B81" s="958" t="s">
        <v>264</v>
      </c>
      <c r="C81" s="973">
        <v>6096</v>
      </c>
      <c r="D81" s="957"/>
      <c r="E81" s="957"/>
      <c r="F81" s="957"/>
      <c r="G81" s="958"/>
      <c r="H81" s="784"/>
      <c r="I81" s="780"/>
      <c r="J81" s="780"/>
    </row>
    <row r="82" spans="1:10" ht="25.5">
      <c r="A82" s="995" t="s">
        <v>192</v>
      </c>
      <c r="B82" s="1000" t="s">
        <v>207</v>
      </c>
      <c r="C82" s="973">
        <v>7824</v>
      </c>
      <c r="D82" s="957"/>
      <c r="E82" s="957"/>
      <c r="F82" s="957"/>
      <c r="G82" s="958"/>
      <c r="H82" s="784"/>
      <c r="I82" s="780"/>
      <c r="J82" s="780"/>
    </row>
    <row r="83" spans="1:10">
      <c r="A83" s="995" t="s">
        <v>193</v>
      </c>
      <c r="B83" s="958" t="s">
        <v>158</v>
      </c>
      <c r="C83" s="973">
        <v>364</v>
      </c>
      <c r="D83" s="957"/>
      <c r="E83" s="957"/>
      <c r="F83" s="957"/>
      <c r="G83" s="958"/>
      <c r="H83" s="784"/>
      <c r="I83" s="780"/>
      <c r="J83" s="780"/>
    </row>
    <row r="84" spans="1:10">
      <c r="A84" s="995" t="s">
        <v>265</v>
      </c>
      <c r="B84" s="958" t="s">
        <v>159</v>
      </c>
      <c r="C84" s="973">
        <v>99</v>
      </c>
      <c r="D84" s="957"/>
      <c r="E84" s="957"/>
      <c r="F84" s="957"/>
      <c r="G84" s="958"/>
      <c r="H84" s="784"/>
      <c r="I84" s="780"/>
      <c r="J84" s="780"/>
    </row>
    <row r="85" spans="1:10">
      <c r="A85" s="995" t="s">
        <v>266</v>
      </c>
      <c r="B85" s="958" t="s">
        <v>160</v>
      </c>
      <c r="C85" s="973">
        <v>1202</v>
      </c>
      <c r="D85" s="957"/>
      <c r="E85" s="957"/>
      <c r="F85" s="957"/>
      <c r="G85" s="958"/>
      <c r="H85" s="784"/>
      <c r="I85" s="780"/>
      <c r="J85" s="780"/>
    </row>
    <row r="86" spans="1:10">
      <c r="A86" s="996">
        <v>17</v>
      </c>
      <c r="B86" s="998" t="s">
        <v>191</v>
      </c>
      <c r="C86" s="973" t="s">
        <v>377</v>
      </c>
      <c r="D86" s="1270"/>
      <c r="E86" s="1270"/>
      <c r="F86" s="957"/>
      <c r="G86" s="953"/>
      <c r="H86" s="954"/>
      <c r="I86" s="780"/>
      <c r="J86" s="780"/>
    </row>
    <row r="87" spans="1:10">
      <c r="A87" s="996">
        <v>18</v>
      </c>
      <c r="B87" s="953" t="s">
        <v>267</v>
      </c>
      <c r="C87" s="987">
        <v>9984</v>
      </c>
      <c r="D87" s="1270"/>
      <c r="E87" s="1270"/>
      <c r="F87" s="957"/>
      <c r="G87" s="958"/>
      <c r="H87" s="784"/>
      <c r="I87" s="780"/>
      <c r="J87" s="780"/>
    </row>
    <row r="88" spans="1:10">
      <c r="A88" s="991" t="s">
        <v>268</v>
      </c>
      <c r="B88" s="1001" t="s">
        <v>47</v>
      </c>
      <c r="C88" s="973">
        <v>2196</v>
      </c>
      <c r="D88" s="1270"/>
      <c r="E88" s="1270"/>
      <c r="F88" s="957"/>
      <c r="G88" s="958"/>
      <c r="H88" s="784"/>
      <c r="I88" s="780"/>
      <c r="J88" s="780"/>
    </row>
    <row r="89" spans="1:10">
      <c r="A89" s="991" t="s">
        <v>269</v>
      </c>
      <c r="B89" s="1001" t="s">
        <v>48</v>
      </c>
      <c r="C89" s="973">
        <v>7788</v>
      </c>
      <c r="D89" s="1270"/>
      <c r="E89" s="1270"/>
      <c r="F89" s="957"/>
      <c r="G89" s="958"/>
      <c r="H89" s="784"/>
      <c r="I89" s="780"/>
      <c r="J89" s="780"/>
    </row>
    <row r="90" spans="1:10">
      <c r="A90" s="991" t="s">
        <v>270</v>
      </c>
      <c r="B90" s="1001" t="s">
        <v>105</v>
      </c>
      <c r="C90" s="982" t="s">
        <v>475</v>
      </c>
      <c r="D90" s="1270"/>
      <c r="E90" s="1270"/>
      <c r="F90" s="957"/>
      <c r="G90" s="958"/>
      <c r="H90" s="784"/>
      <c r="I90" s="780"/>
      <c r="J90" s="780"/>
    </row>
    <row r="91" spans="1:10">
      <c r="A91" s="996">
        <v>19</v>
      </c>
      <c r="B91" s="958" t="s">
        <v>205</v>
      </c>
      <c r="C91" s="982">
        <v>138855</v>
      </c>
      <c r="D91" s="1270"/>
      <c r="E91" s="1270"/>
      <c r="F91" s="957"/>
      <c r="G91" s="958"/>
      <c r="H91" s="784"/>
      <c r="I91" s="780"/>
      <c r="J91" s="780"/>
    </row>
    <row r="92" spans="1:10" ht="38.25">
      <c r="A92" s="996">
        <v>20</v>
      </c>
      <c r="B92" s="1000" t="s">
        <v>106</v>
      </c>
      <c r="C92" s="982">
        <v>108876</v>
      </c>
      <c r="D92" s="1270"/>
      <c r="E92" s="1270"/>
      <c r="F92" s="957"/>
      <c r="G92" s="958"/>
      <c r="H92" s="784"/>
      <c r="I92" s="780"/>
      <c r="J92" s="780"/>
    </row>
    <row r="93" spans="1:10">
      <c r="A93" s="996">
        <v>21</v>
      </c>
      <c r="B93" s="958" t="s">
        <v>103</v>
      </c>
      <c r="C93" s="982">
        <v>40260</v>
      </c>
      <c r="D93" s="1270"/>
      <c r="E93" s="1270"/>
      <c r="F93" s="957"/>
      <c r="G93" s="958"/>
      <c r="H93" s="784"/>
      <c r="I93" s="780"/>
      <c r="J93" s="780"/>
    </row>
    <row r="94" spans="1:10" ht="25.5">
      <c r="A94" s="996">
        <v>22</v>
      </c>
      <c r="B94" s="1000" t="s">
        <v>107</v>
      </c>
      <c r="C94" s="1002">
        <v>126540</v>
      </c>
      <c r="D94" s="1270" t="s">
        <v>779</v>
      </c>
      <c r="E94" s="1270"/>
      <c r="F94" s="1003"/>
      <c r="G94" s="1004"/>
      <c r="H94" s="789"/>
      <c r="I94" s="780"/>
      <c r="J94" s="780"/>
    </row>
    <row r="95" spans="1:10" ht="25.5">
      <c r="A95" s="996">
        <v>23</v>
      </c>
      <c r="B95" s="1000" t="s">
        <v>271</v>
      </c>
      <c r="C95" s="1005">
        <v>3880920</v>
      </c>
      <c r="D95" s="1270"/>
      <c r="E95" s="1270"/>
      <c r="F95" s="957"/>
      <c r="G95" s="958"/>
      <c r="H95" s="784"/>
      <c r="I95" s="780"/>
      <c r="J95" s="780"/>
    </row>
    <row r="96" spans="1:10">
      <c r="A96" s="995" t="s">
        <v>108</v>
      </c>
      <c r="B96" s="1001" t="s">
        <v>49</v>
      </c>
      <c r="C96" s="982">
        <v>0</v>
      </c>
      <c r="D96" s="1270"/>
      <c r="E96" s="1270"/>
      <c r="F96" s="957"/>
      <c r="G96" s="958"/>
      <c r="H96" s="784"/>
      <c r="I96" s="780"/>
      <c r="J96" s="780"/>
    </row>
    <row r="97" spans="1:10" ht="15">
      <c r="A97" s="996">
        <v>24</v>
      </c>
      <c r="B97" s="958" t="s">
        <v>272</v>
      </c>
      <c r="C97" s="906">
        <v>3880920</v>
      </c>
      <c r="D97" s="1270"/>
      <c r="E97" s="1270"/>
      <c r="F97" s="957"/>
      <c r="G97" s="958"/>
      <c r="H97" s="784"/>
      <c r="I97" s="780"/>
      <c r="J97" s="780"/>
    </row>
    <row r="98" spans="1:10">
      <c r="A98" s="780"/>
      <c r="B98" s="780"/>
      <c r="C98" s="780"/>
      <c r="D98" s="780"/>
      <c r="E98" s="780"/>
      <c r="F98" s="780"/>
      <c r="G98" s="780"/>
      <c r="H98" s="780"/>
      <c r="I98" s="780"/>
      <c r="J98" s="780"/>
    </row>
    <row r="99" spans="1:10" ht="15.75">
      <c r="A99" s="1279" t="s">
        <v>362</v>
      </c>
      <c r="B99" s="1284"/>
      <c r="C99" s="1284"/>
      <c r="D99" s="1284"/>
      <c r="E99" s="1284"/>
      <c r="F99" s="1284"/>
      <c r="G99" s="1285"/>
      <c r="H99" s="1006"/>
      <c r="I99" s="780"/>
      <c r="J99" s="780"/>
    </row>
    <row r="100" spans="1:10">
      <c r="A100" s="1007" t="s">
        <v>86</v>
      </c>
      <c r="B100" s="1007" t="s">
        <v>8</v>
      </c>
      <c r="C100" s="1008" t="s">
        <v>50</v>
      </c>
      <c r="D100" s="1008" t="s">
        <v>51</v>
      </c>
      <c r="E100" s="1008" t="s">
        <v>52</v>
      </c>
      <c r="F100" s="1008"/>
      <c r="G100" s="1009" t="s">
        <v>149</v>
      </c>
      <c r="H100" s="1010"/>
      <c r="I100" s="780"/>
      <c r="J100" s="780"/>
    </row>
    <row r="101" spans="1:10">
      <c r="A101" s="1286"/>
      <c r="B101" s="1288" t="s">
        <v>273</v>
      </c>
      <c r="C101" s="1290"/>
      <c r="D101" s="1283"/>
      <c r="E101" s="1283"/>
      <c r="F101" s="1011"/>
      <c r="G101" s="1291"/>
      <c r="H101" s="1012"/>
      <c r="I101" s="780"/>
      <c r="J101" s="780"/>
    </row>
    <row r="102" spans="1:10">
      <c r="A102" s="1287"/>
      <c r="B102" s="1289"/>
      <c r="C102" s="1283"/>
      <c r="D102" s="1283"/>
      <c r="E102" s="1283"/>
      <c r="F102" s="1013"/>
      <c r="G102" s="1292"/>
      <c r="H102" s="1012"/>
      <c r="I102" s="780"/>
      <c r="J102" s="780"/>
    </row>
    <row r="103" spans="1:10">
      <c r="A103" s="1007">
        <v>25</v>
      </c>
      <c r="B103" s="1014" t="s">
        <v>274</v>
      </c>
      <c r="C103" s="1015">
        <v>4623</v>
      </c>
      <c r="D103" s="1015">
        <v>15451</v>
      </c>
      <c r="E103" s="1016">
        <v>931476</v>
      </c>
      <c r="F103" s="1016"/>
      <c r="G103" s="1017"/>
      <c r="H103" s="1018"/>
      <c r="I103" s="780"/>
      <c r="J103" s="780"/>
    </row>
    <row r="104" spans="1:10">
      <c r="A104" s="1019" t="s">
        <v>91</v>
      </c>
      <c r="B104" s="1020" t="s">
        <v>53</v>
      </c>
      <c r="C104" s="1015">
        <v>3579</v>
      </c>
      <c r="D104" s="1015">
        <v>11978</v>
      </c>
      <c r="E104" s="1016">
        <v>712645</v>
      </c>
      <c r="F104" s="1016"/>
      <c r="G104" s="1017"/>
      <c r="H104" s="1018"/>
      <c r="I104" s="780"/>
      <c r="J104" s="780"/>
    </row>
    <row r="105" spans="1:10">
      <c r="A105" s="1019" t="s">
        <v>194</v>
      </c>
      <c r="B105" s="1021" t="s">
        <v>54</v>
      </c>
      <c r="C105" s="1016">
        <v>3508</v>
      </c>
      <c r="D105" s="1019">
        <v>11978</v>
      </c>
      <c r="E105" s="1016" t="s">
        <v>201</v>
      </c>
      <c r="F105" s="1016"/>
      <c r="G105" s="1017"/>
      <c r="H105" s="1018"/>
      <c r="I105" s="780"/>
      <c r="J105" s="780"/>
    </row>
    <row r="106" spans="1:10">
      <c r="A106" s="1019" t="s">
        <v>195</v>
      </c>
      <c r="B106" s="1021" t="s">
        <v>55</v>
      </c>
      <c r="C106" s="1016">
        <v>71</v>
      </c>
      <c r="D106" s="1019" t="s">
        <v>377</v>
      </c>
      <c r="E106" s="1016" t="s">
        <v>201</v>
      </c>
      <c r="F106" s="1016"/>
      <c r="G106" s="1017"/>
      <c r="H106" s="1018"/>
      <c r="I106" s="780"/>
      <c r="J106" s="780"/>
    </row>
    <row r="107" spans="1:10">
      <c r="A107" s="1019" t="s">
        <v>93</v>
      </c>
      <c r="B107" s="1020" t="s">
        <v>56</v>
      </c>
      <c r="C107" s="1016">
        <v>714</v>
      </c>
      <c r="D107" s="1016">
        <v>485</v>
      </c>
      <c r="E107" s="1016">
        <v>207241</v>
      </c>
      <c r="F107" s="1016"/>
      <c r="G107" s="1017"/>
      <c r="H107" s="1018"/>
      <c r="I107" s="780"/>
      <c r="J107" s="780"/>
    </row>
    <row r="108" spans="1:10">
      <c r="A108" s="1019" t="s">
        <v>275</v>
      </c>
      <c r="B108" s="1020" t="s">
        <v>57</v>
      </c>
      <c r="C108" s="1016">
        <v>226</v>
      </c>
      <c r="D108" s="1016">
        <v>1266</v>
      </c>
      <c r="E108" s="1016">
        <v>15726</v>
      </c>
      <c r="F108" s="1016"/>
      <c r="G108" s="1017"/>
      <c r="H108" s="1018"/>
      <c r="I108" s="780"/>
      <c r="J108" s="780"/>
    </row>
    <row r="109" spans="1:10">
      <c r="A109" s="1019" t="s">
        <v>276</v>
      </c>
      <c r="B109" s="1020" t="s">
        <v>58</v>
      </c>
      <c r="C109" s="1016">
        <v>104</v>
      </c>
      <c r="D109" s="1016">
        <v>1722</v>
      </c>
      <c r="E109" s="1016" t="s">
        <v>377</v>
      </c>
      <c r="F109" s="1016"/>
      <c r="G109" s="1017"/>
      <c r="H109" s="1018"/>
      <c r="I109" s="780"/>
      <c r="J109" s="780"/>
    </row>
    <row r="110" spans="1:10">
      <c r="A110" s="1022" t="s">
        <v>277</v>
      </c>
      <c r="B110" s="1020" t="s">
        <v>139</v>
      </c>
      <c r="C110" s="1023">
        <v>2033</v>
      </c>
      <c r="D110" s="1015">
        <v>12154</v>
      </c>
      <c r="E110" s="1016" t="s">
        <v>377</v>
      </c>
      <c r="F110" s="1016"/>
      <c r="G110" s="1017"/>
      <c r="H110" s="1018"/>
      <c r="I110" s="780"/>
      <c r="J110" s="780"/>
    </row>
    <row r="111" spans="1:10">
      <c r="A111" s="1007">
        <v>26</v>
      </c>
      <c r="B111" s="1024" t="s">
        <v>278</v>
      </c>
      <c r="C111" s="1016">
        <v>178</v>
      </c>
      <c r="D111" s="1016">
        <v>0</v>
      </c>
      <c r="E111" s="1016">
        <v>6749</v>
      </c>
      <c r="F111" s="1016"/>
      <c r="G111" s="1017"/>
      <c r="H111" s="1018"/>
      <c r="I111" s="780"/>
      <c r="J111" s="780"/>
    </row>
    <row r="112" spans="1:10">
      <c r="A112" s="1019" t="s">
        <v>92</v>
      </c>
      <c r="B112" s="1020" t="s">
        <v>59</v>
      </c>
      <c r="C112" s="1016" t="s">
        <v>377</v>
      </c>
      <c r="D112" s="1016" t="s">
        <v>377</v>
      </c>
      <c r="E112" s="1016">
        <v>6749</v>
      </c>
      <c r="F112" s="1016"/>
      <c r="G112" s="1017"/>
      <c r="H112" s="1018"/>
      <c r="I112" s="780"/>
      <c r="J112" s="780"/>
    </row>
    <row r="113" spans="1:10">
      <c r="A113" s="1022" t="s">
        <v>94</v>
      </c>
      <c r="B113" s="1020" t="s">
        <v>164</v>
      </c>
      <c r="C113" s="1016">
        <v>178</v>
      </c>
      <c r="D113" s="1016">
        <v>0</v>
      </c>
      <c r="E113" s="1016" t="s">
        <v>377</v>
      </c>
      <c r="F113" s="1016"/>
      <c r="G113" s="1017"/>
      <c r="H113" s="1018"/>
      <c r="I113" s="780"/>
      <c r="J113" s="780"/>
    </row>
    <row r="114" spans="1:10">
      <c r="A114" s="1019"/>
      <c r="B114" s="1020"/>
      <c r="C114" s="1016"/>
      <c r="D114" s="1016"/>
      <c r="E114" s="1016"/>
      <c r="F114" s="1016"/>
      <c r="G114" s="1017"/>
      <c r="H114" s="1018"/>
      <c r="I114" s="780"/>
      <c r="J114" s="780"/>
    </row>
    <row r="115" spans="1:10" ht="38.25">
      <c r="A115" s="1025">
        <v>27</v>
      </c>
      <c r="B115" s="1026" t="s">
        <v>279</v>
      </c>
      <c r="C115" s="1015">
        <v>112</v>
      </c>
      <c r="D115" s="1015">
        <v>317</v>
      </c>
      <c r="E115" s="1016"/>
      <c r="F115" s="1016"/>
      <c r="G115" s="1017"/>
      <c r="H115" s="1018"/>
      <c r="I115" s="780"/>
      <c r="J115" s="780"/>
    </row>
    <row r="116" spans="1:10" ht="25.5">
      <c r="A116" s="1007" t="s">
        <v>196</v>
      </c>
      <c r="B116" s="1027" t="s">
        <v>280</v>
      </c>
      <c r="C116" s="1023">
        <v>16</v>
      </c>
      <c r="D116" s="1023">
        <v>84</v>
      </c>
      <c r="E116" s="1016">
        <v>48885</v>
      </c>
      <c r="F116" s="1019"/>
      <c r="G116" s="1017"/>
      <c r="H116" s="1018"/>
      <c r="I116" s="780"/>
      <c r="J116" s="780"/>
    </row>
    <row r="117" spans="1:10">
      <c r="A117" s="1019" t="s">
        <v>281</v>
      </c>
      <c r="B117" s="1021" t="s">
        <v>124</v>
      </c>
      <c r="C117" s="1019">
        <v>16</v>
      </c>
      <c r="D117" s="1019">
        <v>84</v>
      </c>
      <c r="E117" s="1016">
        <v>647</v>
      </c>
      <c r="F117" s="1019"/>
      <c r="G117" s="1017"/>
      <c r="H117" s="1018"/>
      <c r="I117" s="780"/>
      <c r="J117" s="780"/>
    </row>
    <row r="118" spans="1:10">
      <c r="A118" s="1019" t="s">
        <v>282</v>
      </c>
      <c r="B118" s="1021" t="s">
        <v>125</v>
      </c>
      <c r="C118" s="1019" t="s">
        <v>377</v>
      </c>
      <c r="D118" s="1019" t="s">
        <v>377</v>
      </c>
      <c r="E118" s="1016">
        <v>48238</v>
      </c>
      <c r="F118" s="1019"/>
      <c r="G118" s="1017"/>
      <c r="H118" s="1018"/>
      <c r="I118" s="780"/>
      <c r="J118" s="780"/>
    </row>
    <row r="119" spans="1:10" ht="25.5">
      <c r="A119" s="1007" t="s">
        <v>283</v>
      </c>
      <c r="B119" s="1027" t="s">
        <v>284</v>
      </c>
      <c r="C119" s="1023">
        <v>96</v>
      </c>
      <c r="D119" s="1023">
        <v>233</v>
      </c>
      <c r="E119" s="1019" t="s">
        <v>377</v>
      </c>
      <c r="F119" s="1019"/>
      <c r="G119" s="1017"/>
      <c r="H119" s="1018"/>
      <c r="I119" s="780"/>
      <c r="J119" s="780"/>
    </row>
    <row r="120" spans="1:10">
      <c r="A120" s="1019" t="s">
        <v>285</v>
      </c>
      <c r="B120" s="1021" t="s">
        <v>126</v>
      </c>
      <c r="C120" s="1019">
        <v>0</v>
      </c>
      <c r="D120" s="1019">
        <v>13</v>
      </c>
      <c r="E120" s="1019">
        <v>84</v>
      </c>
      <c r="F120" s="1019"/>
      <c r="G120" s="1017"/>
      <c r="H120" s="1018"/>
      <c r="I120" s="780"/>
      <c r="J120" s="780"/>
    </row>
    <row r="121" spans="1:10">
      <c r="A121" s="1022" t="s">
        <v>286</v>
      </c>
      <c r="B121" s="1021" t="s">
        <v>287</v>
      </c>
      <c r="C121" s="1019" t="s">
        <v>377</v>
      </c>
      <c r="D121" s="1019" t="s">
        <v>377</v>
      </c>
      <c r="E121" s="1016">
        <v>17719</v>
      </c>
      <c r="F121" s="1019"/>
      <c r="G121" s="1017"/>
      <c r="H121" s="1018"/>
      <c r="I121" s="780"/>
      <c r="J121" s="780"/>
    </row>
    <row r="122" spans="1:10">
      <c r="A122" s="1019" t="s">
        <v>288</v>
      </c>
      <c r="B122" s="1021" t="s">
        <v>218</v>
      </c>
      <c r="C122" s="1019">
        <v>96</v>
      </c>
      <c r="D122" s="1019">
        <v>220</v>
      </c>
      <c r="E122" s="1019" t="s">
        <v>377</v>
      </c>
      <c r="F122" s="1019"/>
      <c r="G122" s="1017"/>
      <c r="H122" s="1018"/>
      <c r="I122" s="780"/>
      <c r="J122" s="780"/>
    </row>
    <row r="123" spans="1:10">
      <c r="A123" s="1019"/>
      <c r="B123" s="1021"/>
      <c r="C123" s="1019"/>
      <c r="D123" s="1019"/>
      <c r="E123" s="1019"/>
      <c r="F123" s="1019"/>
      <c r="G123" s="1017"/>
      <c r="H123" s="1018"/>
      <c r="I123" s="780"/>
      <c r="J123" s="780"/>
    </row>
    <row r="124" spans="1:10">
      <c r="A124" s="1019" t="s">
        <v>86</v>
      </c>
      <c r="B124" s="1019"/>
      <c r="C124" s="1019"/>
      <c r="D124" s="1019"/>
      <c r="E124" s="1019"/>
      <c r="F124" s="1019"/>
      <c r="G124" s="1017"/>
      <c r="H124" s="1018"/>
      <c r="I124" s="780"/>
      <c r="J124" s="780"/>
    </row>
    <row r="125" spans="1:10">
      <c r="A125" s="1007">
        <v>28</v>
      </c>
      <c r="B125" s="1014" t="s">
        <v>289</v>
      </c>
      <c r="C125" s="1023">
        <v>90</v>
      </c>
      <c r="D125" s="1015">
        <v>5665</v>
      </c>
      <c r="E125" s="1015">
        <v>20174</v>
      </c>
      <c r="F125" s="1019"/>
      <c r="G125" s="1017"/>
      <c r="H125" s="1018"/>
      <c r="I125" s="780"/>
      <c r="J125" s="780"/>
    </row>
    <row r="126" spans="1:10">
      <c r="A126" s="1019" t="s">
        <v>127</v>
      </c>
      <c r="B126" s="1028" t="s">
        <v>40</v>
      </c>
      <c r="C126" s="1019">
        <v>16</v>
      </c>
      <c r="D126" s="1016">
        <v>4174</v>
      </c>
      <c r="E126" s="1016">
        <v>9971</v>
      </c>
      <c r="F126" s="1019"/>
      <c r="G126" s="1017"/>
      <c r="H126" s="1018"/>
      <c r="I126" s="780"/>
      <c r="J126" s="780"/>
    </row>
    <row r="127" spans="1:10">
      <c r="A127" s="1019" t="s">
        <v>129</v>
      </c>
      <c r="B127" s="1028" t="s">
        <v>41</v>
      </c>
      <c r="C127" s="1019">
        <v>74</v>
      </c>
      <c r="D127" s="1016">
        <v>1491</v>
      </c>
      <c r="E127" s="1016">
        <v>10203</v>
      </c>
      <c r="F127" s="1019"/>
      <c r="G127" s="1017"/>
      <c r="H127" s="1018"/>
      <c r="I127" s="780"/>
      <c r="J127" s="780"/>
    </row>
    <row r="128" spans="1:10">
      <c r="A128" s="1019"/>
      <c r="B128" s="780"/>
      <c r="C128" s="1019"/>
      <c r="D128" s="1019"/>
      <c r="E128" s="1019"/>
      <c r="F128" s="1019"/>
      <c r="G128" s="1017"/>
      <c r="H128" s="1018"/>
      <c r="I128" s="780"/>
      <c r="J128" s="780"/>
    </row>
    <row r="129" spans="1:10">
      <c r="A129" s="1007">
        <v>29</v>
      </c>
      <c r="B129" s="1014" t="s">
        <v>290</v>
      </c>
      <c r="C129" s="1019"/>
      <c r="D129" s="1019"/>
      <c r="E129" s="1019"/>
      <c r="F129" s="1019"/>
      <c r="G129" s="1017"/>
      <c r="H129" s="1018"/>
      <c r="I129" s="780"/>
      <c r="J129" s="780"/>
    </row>
    <row r="130" spans="1:10">
      <c r="A130" s="1007" t="s">
        <v>165</v>
      </c>
      <c r="B130" s="1014" t="s">
        <v>37</v>
      </c>
      <c r="C130" s="1019">
        <v>200</v>
      </c>
      <c r="D130" s="1016">
        <v>93333</v>
      </c>
      <c r="E130" s="1016">
        <v>69973</v>
      </c>
      <c r="F130" s="1019"/>
      <c r="G130" s="1017"/>
      <c r="H130" s="1018"/>
      <c r="I130" s="780"/>
      <c r="J130" s="780"/>
    </row>
    <row r="131" spans="1:10">
      <c r="A131" s="1007" t="s">
        <v>166</v>
      </c>
      <c r="B131" s="1014" t="s">
        <v>79</v>
      </c>
      <c r="C131" s="1019">
        <v>0</v>
      </c>
      <c r="D131" s="1016">
        <v>0</v>
      </c>
      <c r="E131" s="1016">
        <v>163713</v>
      </c>
      <c r="F131" s="1019"/>
      <c r="G131" s="1017"/>
      <c r="H131" s="1018"/>
      <c r="I131" s="780"/>
      <c r="J131" s="780"/>
    </row>
    <row r="132" spans="1:10">
      <c r="A132" s="1007" t="s">
        <v>291</v>
      </c>
      <c r="B132" s="1029" t="s">
        <v>222</v>
      </c>
      <c r="C132" s="1007">
        <v>56</v>
      </c>
      <c r="D132" s="1008">
        <v>0</v>
      </c>
      <c r="E132" s="1008">
        <v>994</v>
      </c>
      <c r="F132" s="1007"/>
      <c r="G132" s="1014"/>
      <c r="H132" s="1010"/>
      <c r="I132" s="780"/>
      <c r="J132" s="780"/>
    </row>
    <row r="133" spans="1:10">
      <c r="A133" s="1007" t="s">
        <v>292</v>
      </c>
      <c r="B133" s="1029" t="s">
        <v>293</v>
      </c>
      <c r="C133" s="1007">
        <v>746</v>
      </c>
      <c r="D133" s="1008">
        <v>0</v>
      </c>
      <c r="E133" s="1008">
        <v>1154018</v>
      </c>
      <c r="F133" s="1007"/>
      <c r="G133" s="1014"/>
      <c r="H133" s="1010"/>
      <c r="I133" s="780"/>
      <c r="J133" s="780"/>
    </row>
    <row r="134" spans="1:10">
      <c r="A134" s="1007" t="s">
        <v>294</v>
      </c>
      <c r="B134" s="1029" t="s">
        <v>223</v>
      </c>
      <c r="C134" s="1007">
        <v>0</v>
      </c>
      <c r="D134" s="1007">
        <v>0</v>
      </c>
      <c r="E134" s="1007" t="s">
        <v>377</v>
      </c>
      <c r="F134" s="1007"/>
      <c r="G134" s="1014"/>
      <c r="H134" s="1010"/>
      <c r="I134" s="780"/>
      <c r="J134" s="780"/>
    </row>
    <row r="135" spans="1:10">
      <c r="A135" s="1007" t="s">
        <v>295</v>
      </c>
      <c r="B135" s="1030" t="s">
        <v>224</v>
      </c>
      <c r="C135" s="1007">
        <v>746</v>
      </c>
      <c r="D135" s="1007">
        <v>0</v>
      </c>
      <c r="E135" s="1008">
        <v>1154018</v>
      </c>
      <c r="F135" s="1007"/>
      <c r="G135" s="1014"/>
      <c r="H135" s="1010"/>
      <c r="I135" s="780"/>
      <c r="J135" s="780"/>
    </row>
    <row r="136" spans="1:10">
      <c r="A136" s="1007" t="s">
        <v>296</v>
      </c>
      <c r="B136" s="1030" t="s">
        <v>225</v>
      </c>
      <c r="C136" s="1007"/>
      <c r="D136" s="1007"/>
      <c r="E136" s="1007"/>
      <c r="F136" s="1007"/>
      <c r="G136" s="1014"/>
      <c r="H136" s="1010"/>
      <c r="I136" s="780"/>
      <c r="J136" s="780"/>
    </row>
    <row r="137" spans="1:10">
      <c r="A137" s="1019"/>
      <c r="B137" s="1014" t="s">
        <v>297</v>
      </c>
      <c r="C137" s="1019"/>
      <c r="D137" s="1019"/>
      <c r="E137" s="1019"/>
      <c r="F137" s="1019"/>
      <c r="G137" s="1017"/>
      <c r="H137" s="1018"/>
      <c r="I137" s="780"/>
      <c r="J137" s="780"/>
    </row>
    <row r="138" spans="1:10">
      <c r="A138" s="1031" t="s">
        <v>298</v>
      </c>
      <c r="B138" s="1030" t="s">
        <v>197</v>
      </c>
      <c r="C138" s="1007">
        <v>1</v>
      </c>
      <c r="D138" s="1007">
        <v>0</v>
      </c>
      <c r="E138" s="1007">
        <v>8</v>
      </c>
      <c r="F138" s="1007"/>
      <c r="G138" s="1014"/>
      <c r="H138" s="1010"/>
      <c r="I138" s="780"/>
      <c r="J138" s="780"/>
    </row>
    <row r="139" spans="1:10">
      <c r="A139" s="1031" t="s">
        <v>299</v>
      </c>
      <c r="B139" s="1030" t="s">
        <v>198</v>
      </c>
      <c r="C139" s="1007">
        <v>114</v>
      </c>
      <c r="D139" s="1008">
        <v>0</v>
      </c>
      <c r="E139" s="1032">
        <v>17000</v>
      </c>
      <c r="F139" s="1007" t="s">
        <v>536</v>
      </c>
      <c r="G139" s="1014"/>
      <c r="H139" s="1010"/>
      <c r="I139" s="780"/>
      <c r="J139" s="780"/>
    </row>
    <row r="140" spans="1:10">
      <c r="A140" s="1031" t="s">
        <v>300</v>
      </c>
      <c r="B140" s="1030" t="s">
        <v>199</v>
      </c>
      <c r="C140" s="1007" t="s">
        <v>377</v>
      </c>
      <c r="D140" s="1007" t="s">
        <v>377</v>
      </c>
      <c r="E140" s="1007" t="s">
        <v>377</v>
      </c>
      <c r="F140" s="1007"/>
      <c r="G140" s="1014"/>
      <c r="H140" s="1010"/>
      <c r="I140" s="780"/>
      <c r="J140" s="780"/>
    </row>
    <row r="141" spans="1:10">
      <c r="A141" s="1031" t="s">
        <v>301</v>
      </c>
      <c r="B141" s="1030" t="s">
        <v>200</v>
      </c>
      <c r="C141" s="1007" t="s">
        <v>201</v>
      </c>
      <c r="D141" s="1007" t="s">
        <v>201</v>
      </c>
      <c r="E141" s="1007" t="s">
        <v>201</v>
      </c>
      <c r="F141" s="1007"/>
      <c r="G141" s="1014"/>
      <c r="H141" s="1010"/>
      <c r="I141" s="780"/>
      <c r="J141" s="780"/>
    </row>
    <row r="142" spans="1:10">
      <c r="A142" s="1007" t="s">
        <v>302</v>
      </c>
      <c r="B142" s="1030" t="s">
        <v>220</v>
      </c>
      <c r="C142" s="1007">
        <v>0</v>
      </c>
      <c r="D142" s="1007">
        <v>0</v>
      </c>
      <c r="E142" s="1008">
        <v>2136</v>
      </c>
      <c r="F142" s="1007"/>
      <c r="G142" s="1014"/>
      <c r="H142" s="1010"/>
      <c r="I142" s="780"/>
      <c r="J142" s="780"/>
    </row>
    <row r="143" spans="1:10">
      <c r="A143" s="1007" t="s">
        <v>303</v>
      </c>
      <c r="B143" s="1030" t="s">
        <v>221</v>
      </c>
      <c r="C143" s="1007">
        <v>0</v>
      </c>
      <c r="D143" s="1007">
        <v>0</v>
      </c>
      <c r="E143" s="1008">
        <v>1271904</v>
      </c>
      <c r="F143" s="1007"/>
      <c r="G143" s="1014"/>
      <c r="H143" s="1010"/>
      <c r="I143" s="780"/>
      <c r="J143" s="780"/>
    </row>
    <row r="144" spans="1:10">
      <c r="A144" s="1293"/>
      <c r="B144" s="1294"/>
      <c r="C144" s="1295"/>
      <c r="D144" s="1295"/>
      <c r="E144" s="1295"/>
      <c r="F144" s="1295"/>
      <c r="G144" s="1296"/>
      <c r="H144" s="1012"/>
      <c r="I144" s="780"/>
      <c r="J144" s="780"/>
    </row>
    <row r="145" spans="1:10" ht="15.75">
      <c r="A145" s="1279" t="s">
        <v>99</v>
      </c>
      <c r="B145" s="1280"/>
      <c r="C145" s="1280"/>
      <c r="D145" s="1280"/>
      <c r="E145" s="1280"/>
      <c r="F145" s="1280"/>
      <c r="G145" s="1280"/>
      <c r="H145" s="1033"/>
      <c r="I145" s="1006"/>
      <c r="J145" s="780"/>
    </row>
    <row r="146" spans="1:10">
      <c r="A146" s="780"/>
      <c r="B146" s="780"/>
      <c r="C146" s="780"/>
      <c r="D146" s="780"/>
      <c r="E146" s="780"/>
      <c r="F146" s="780"/>
      <c r="G146" s="780"/>
      <c r="H146" s="780"/>
      <c r="I146" s="780"/>
      <c r="J146" s="780"/>
    </row>
    <row r="147" spans="1:10">
      <c r="A147" s="1031">
        <v>30</v>
      </c>
      <c r="B147" s="1014" t="s">
        <v>304</v>
      </c>
      <c r="C147" s="1034">
        <v>714696</v>
      </c>
      <c r="D147" s="780"/>
      <c r="E147" s="780"/>
      <c r="F147" s="780"/>
      <c r="G147" s="780"/>
      <c r="H147" s="780"/>
      <c r="I147" s="780"/>
      <c r="J147" s="780"/>
    </row>
    <row r="148" spans="1:10">
      <c r="A148" s="1022" t="s">
        <v>169</v>
      </c>
      <c r="B148" s="1017" t="s">
        <v>167</v>
      </c>
      <c r="C148" s="1035">
        <v>567515</v>
      </c>
      <c r="D148" s="780"/>
      <c r="E148" s="780"/>
      <c r="F148" s="780"/>
      <c r="G148" s="780"/>
      <c r="H148" s="780"/>
      <c r="I148" s="780"/>
      <c r="J148" s="780"/>
    </row>
    <row r="149" spans="1:10">
      <c r="A149" s="1022" t="s">
        <v>171</v>
      </c>
      <c r="B149" s="1017" t="s">
        <v>168</v>
      </c>
      <c r="C149" s="1035">
        <v>147181</v>
      </c>
      <c r="D149" s="780"/>
      <c r="E149" s="780"/>
      <c r="F149" s="780"/>
      <c r="G149" s="780"/>
      <c r="H149" s="780"/>
      <c r="I149" s="780"/>
      <c r="J149" s="780"/>
    </row>
    <row r="150" spans="1:10" ht="24.75">
      <c r="A150" s="1031">
        <v>31</v>
      </c>
      <c r="B150" s="1026" t="s">
        <v>305</v>
      </c>
      <c r="C150" s="1035"/>
      <c r="D150" s="780"/>
      <c r="E150" s="780"/>
      <c r="F150" s="780"/>
      <c r="G150" s="780"/>
      <c r="H150" s="780"/>
      <c r="I150" s="780"/>
      <c r="J150" s="780"/>
    </row>
    <row r="151" spans="1:10">
      <c r="A151" s="1022" t="s">
        <v>137</v>
      </c>
      <c r="B151" s="1017" t="s">
        <v>170</v>
      </c>
      <c r="C151" s="1035">
        <v>1924176</v>
      </c>
      <c r="D151" s="780"/>
      <c r="E151" s="780"/>
      <c r="F151" s="780"/>
      <c r="G151" s="780"/>
      <c r="H151" s="780"/>
      <c r="I151" s="780"/>
      <c r="J151" s="780"/>
    </row>
    <row r="152" spans="1:10" ht="45">
      <c r="A152" s="1022" t="s">
        <v>138</v>
      </c>
      <c r="B152" s="1017" t="s">
        <v>172</v>
      </c>
      <c r="C152" s="1035">
        <v>6307834</v>
      </c>
      <c r="D152" s="1036" t="s">
        <v>780</v>
      </c>
      <c r="E152" s="780"/>
      <c r="F152" s="780"/>
      <c r="G152" s="780"/>
      <c r="H152" s="780"/>
      <c r="I152" s="780"/>
      <c r="J152" s="780"/>
    </row>
    <row r="153" spans="1:10">
      <c r="A153" s="1022"/>
      <c r="B153" s="1017"/>
      <c r="C153" s="1037"/>
      <c r="D153" s="780"/>
      <c r="E153" s="780"/>
      <c r="F153" s="780"/>
      <c r="G153" s="780"/>
      <c r="H153" s="780"/>
      <c r="I153" s="780"/>
      <c r="J153" s="780"/>
    </row>
    <row r="154" spans="1:10">
      <c r="A154" s="1007"/>
      <c r="B154" s="1281" t="s">
        <v>306</v>
      </c>
      <c r="C154" s="1282"/>
      <c r="D154" s="780"/>
      <c r="E154" s="780"/>
      <c r="F154" s="780"/>
      <c r="G154" s="780"/>
      <c r="H154" s="780"/>
      <c r="I154" s="780"/>
      <c r="J154" s="780"/>
    </row>
    <row r="155" spans="1:10">
      <c r="A155" s="1007">
        <v>32</v>
      </c>
      <c r="B155" s="1038" t="s">
        <v>307</v>
      </c>
      <c r="C155" s="1015">
        <v>141578</v>
      </c>
      <c r="D155" s="780"/>
      <c r="E155" s="780"/>
      <c r="F155" s="780"/>
      <c r="G155" s="780"/>
      <c r="H155" s="780"/>
      <c r="I155" s="780"/>
      <c r="J155" s="780"/>
    </row>
    <row r="156" spans="1:10">
      <c r="A156" s="1019" t="s">
        <v>308</v>
      </c>
      <c r="B156" s="1039" t="s">
        <v>69</v>
      </c>
      <c r="C156" s="1016">
        <v>101586</v>
      </c>
      <c r="D156" s="780"/>
      <c r="E156" s="780"/>
      <c r="F156" s="780"/>
      <c r="G156" s="780"/>
      <c r="H156" s="780"/>
      <c r="I156" s="780"/>
      <c r="J156" s="780"/>
    </row>
    <row r="157" spans="1:10">
      <c r="A157" s="1022" t="s">
        <v>309</v>
      </c>
      <c r="B157" s="1039" t="s">
        <v>70</v>
      </c>
      <c r="C157" s="1016">
        <v>10918</v>
      </c>
      <c r="D157" s="780"/>
      <c r="E157" s="780"/>
      <c r="F157" s="780"/>
      <c r="G157" s="780"/>
      <c r="H157" s="780"/>
      <c r="I157" s="780"/>
      <c r="J157" s="780"/>
    </row>
    <row r="158" spans="1:10">
      <c r="A158" s="1007">
        <v>33</v>
      </c>
      <c r="B158" s="1040" t="s">
        <v>71</v>
      </c>
      <c r="C158" s="1016">
        <v>126964</v>
      </c>
      <c r="D158" s="780"/>
      <c r="E158" s="780"/>
      <c r="F158" s="780"/>
      <c r="G158" s="780"/>
      <c r="H158" s="780"/>
      <c r="I158" s="780"/>
      <c r="J158" s="780"/>
    </row>
    <row r="159" spans="1:10">
      <c r="A159" s="1007">
        <v>34</v>
      </c>
      <c r="B159" s="1038" t="s">
        <v>310</v>
      </c>
      <c r="C159" s="1015">
        <v>5249</v>
      </c>
      <c r="D159" s="780"/>
      <c r="E159" s="780"/>
      <c r="F159" s="780"/>
      <c r="G159" s="780"/>
      <c r="H159" s="780"/>
      <c r="I159" s="780"/>
      <c r="J159" s="780"/>
    </row>
    <row r="160" spans="1:10">
      <c r="A160" s="1019" t="s">
        <v>173</v>
      </c>
      <c r="B160" s="1039" t="s">
        <v>72</v>
      </c>
      <c r="C160" s="1016">
        <v>404</v>
      </c>
      <c r="D160" s="780"/>
      <c r="E160" s="780"/>
      <c r="F160" s="780"/>
      <c r="G160" s="780"/>
      <c r="H160" s="780"/>
      <c r="I160" s="780"/>
      <c r="J160" s="780"/>
    </row>
    <row r="161" spans="1:10">
      <c r="A161" s="1022" t="s">
        <v>175</v>
      </c>
      <c r="B161" s="1039" t="s">
        <v>73</v>
      </c>
      <c r="C161" s="1016">
        <v>3331</v>
      </c>
      <c r="D161" s="780"/>
      <c r="E161" s="780"/>
      <c r="F161" s="780"/>
      <c r="G161" s="780"/>
      <c r="H161" s="780"/>
      <c r="I161" s="780"/>
      <c r="J161" s="780"/>
    </row>
    <row r="162" spans="1:10">
      <c r="A162" s="1022" t="s">
        <v>177</v>
      </c>
      <c r="B162" s="1039" t="s">
        <v>214</v>
      </c>
      <c r="C162" s="1016">
        <v>1514</v>
      </c>
      <c r="D162" s="780"/>
      <c r="E162" s="780"/>
      <c r="F162" s="780"/>
      <c r="G162" s="780"/>
      <c r="H162" s="780"/>
      <c r="I162" s="780"/>
      <c r="J162" s="780"/>
    </row>
    <row r="163" spans="1:10">
      <c r="A163" s="1041">
        <v>35</v>
      </c>
      <c r="B163" s="1038" t="s">
        <v>311</v>
      </c>
      <c r="C163" s="1015">
        <v>29074</v>
      </c>
      <c r="D163" s="780"/>
      <c r="E163" s="780"/>
      <c r="F163" s="780"/>
      <c r="G163" s="780"/>
      <c r="H163" s="780"/>
      <c r="I163" s="780"/>
      <c r="J163" s="780"/>
    </row>
    <row r="164" spans="1:10">
      <c r="A164" s="1042" t="s">
        <v>312</v>
      </c>
      <c r="B164" s="1040" t="s">
        <v>174</v>
      </c>
      <c r="C164" s="1016">
        <v>17684</v>
      </c>
      <c r="D164" s="780"/>
      <c r="E164" s="780"/>
      <c r="F164" s="780"/>
      <c r="G164" s="780"/>
      <c r="H164" s="780"/>
      <c r="I164" s="780"/>
      <c r="J164" s="780"/>
    </row>
    <row r="165" spans="1:10">
      <c r="A165" s="1022" t="s">
        <v>313</v>
      </c>
      <c r="B165" s="1040" t="s">
        <v>176</v>
      </c>
      <c r="C165" s="1016">
        <v>11390</v>
      </c>
      <c r="D165" s="780"/>
      <c r="E165" s="780"/>
      <c r="F165" s="780"/>
      <c r="G165" s="780"/>
      <c r="H165" s="780"/>
      <c r="I165" s="780"/>
      <c r="J165" s="780"/>
    </row>
    <row r="166" spans="1:10">
      <c r="A166" s="1022" t="s">
        <v>314</v>
      </c>
      <c r="B166" s="1040" t="s">
        <v>178</v>
      </c>
      <c r="C166" s="1016">
        <v>0</v>
      </c>
      <c r="D166" s="780"/>
      <c r="E166" s="780"/>
      <c r="F166" s="780"/>
      <c r="G166" s="780"/>
      <c r="H166" s="780"/>
      <c r="I166" s="780"/>
      <c r="J166" s="780"/>
    </row>
    <row r="167" spans="1:10">
      <c r="A167" s="780"/>
      <c r="B167" s="780"/>
      <c r="C167" s="780"/>
      <c r="D167" s="780"/>
      <c r="E167" s="780"/>
      <c r="F167" s="780"/>
      <c r="G167" s="780"/>
      <c r="H167" s="780"/>
      <c r="I167" s="780"/>
      <c r="J167" s="780"/>
    </row>
    <row r="168" spans="1:10">
      <c r="A168" s="1041"/>
      <c r="B168" s="1043" t="s">
        <v>87</v>
      </c>
      <c r="C168" s="1044"/>
      <c r="D168" s="1044"/>
      <c r="E168" s="1045"/>
      <c r="F168" s="1046"/>
      <c r="G168" s="780"/>
      <c r="H168" s="780"/>
      <c r="I168" s="780"/>
      <c r="J168" s="780"/>
    </row>
    <row r="169" spans="1:10">
      <c r="A169" s="1041">
        <v>36</v>
      </c>
      <c r="B169" s="1047" t="s">
        <v>74</v>
      </c>
      <c r="C169" s="1048">
        <v>3045</v>
      </c>
      <c r="D169" s="1049"/>
      <c r="E169" s="1050"/>
      <c r="F169" s="1050"/>
      <c r="G169" s="1051"/>
      <c r="H169" s="780"/>
      <c r="I169" s="780"/>
      <c r="J169" s="780"/>
    </row>
    <row r="170" spans="1:10">
      <c r="A170" s="1041">
        <v>37</v>
      </c>
      <c r="B170" s="1040" t="s">
        <v>75</v>
      </c>
      <c r="C170" s="1052">
        <v>3589</v>
      </c>
      <c r="D170" s="1049"/>
      <c r="E170" s="1050"/>
      <c r="F170" s="1050"/>
      <c r="G170" s="1051"/>
      <c r="H170" s="780"/>
      <c r="I170" s="780"/>
      <c r="J170" s="780"/>
    </row>
    <row r="171" spans="1:10">
      <c r="A171" s="1041">
        <v>38</v>
      </c>
      <c r="B171" s="1038" t="s">
        <v>315</v>
      </c>
      <c r="C171" s="1053">
        <v>6634</v>
      </c>
      <c r="D171" s="1054"/>
      <c r="E171" s="1055"/>
      <c r="F171" s="1055"/>
      <c r="G171" s="1055"/>
      <c r="H171" s="780"/>
      <c r="I171" s="780"/>
      <c r="J171" s="780"/>
    </row>
    <row r="172" spans="1:10">
      <c r="A172" s="1042" t="s">
        <v>118</v>
      </c>
      <c r="B172" s="1039" t="s">
        <v>208</v>
      </c>
      <c r="C172" s="1048">
        <v>4021</v>
      </c>
      <c r="D172" s="1049"/>
      <c r="E172" s="1050"/>
      <c r="F172" s="1050"/>
      <c r="G172" s="1051"/>
      <c r="H172" s="780"/>
      <c r="I172" s="780"/>
      <c r="J172" s="780"/>
    </row>
    <row r="173" spans="1:10">
      <c r="A173" s="1042" t="s">
        <v>119</v>
      </c>
      <c r="B173" s="1039" t="s">
        <v>209</v>
      </c>
      <c r="C173" s="1056">
        <v>654</v>
      </c>
      <c r="D173" s="1049"/>
      <c r="E173" s="1050"/>
      <c r="F173" s="1050"/>
      <c r="G173" s="1051"/>
      <c r="H173" s="780"/>
      <c r="I173" s="780"/>
      <c r="J173" s="780"/>
    </row>
    <row r="174" spans="1:10">
      <c r="A174" s="1022" t="s">
        <v>120</v>
      </c>
      <c r="B174" s="1039" t="s">
        <v>210</v>
      </c>
      <c r="C174" s="1056">
        <v>1959</v>
      </c>
      <c r="D174" s="1049"/>
      <c r="E174" s="1050"/>
      <c r="F174" s="1050"/>
      <c r="G174" s="1051"/>
      <c r="H174" s="780"/>
      <c r="I174" s="780"/>
      <c r="J174" s="780"/>
    </row>
    <row r="175" spans="1:10">
      <c r="A175" s="1041">
        <v>39</v>
      </c>
      <c r="B175" s="1038" t="s">
        <v>316</v>
      </c>
      <c r="C175" s="1057">
        <v>0</v>
      </c>
      <c r="D175" s="1049"/>
      <c r="E175" s="1050"/>
      <c r="F175" s="1050"/>
      <c r="G175" s="1051"/>
      <c r="H175" s="780"/>
      <c r="I175" s="780"/>
      <c r="J175" s="780"/>
    </row>
    <row r="176" spans="1:10">
      <c r="A176" s="1042" t="s">
        <v>317</v>
      </c>
      <c r="B176" s="1039" t="s">
        <v>76</v>
      </c>
      <c r="C176" s="1058">
        <v>0</v>
      </c>
      <c r="D176" s="1049"/>
      <c r="E176" s="1050"/>
      <c r="F176" s="1050"/>
      <c r="G176" s="1051"/>
      <c r="H176" s="780"/>
      <c r="I176" s="780"/>
      <c r="J176" s="780"/>
    </row>
    <row r="177" spans="1:10">
      <c r="A177" s="1042" t="s">
        <v>318</v>
      </c>
      <c r="B177" s="1039" t="s">
        <v>77</v>
      </c>
      <c r="C177" s="1058">
        <v>0</v>
      </c>
      <c r="D177" s="1049"/>
      <c r="E177" s="1050"/>
      <c r="F177" s="1050"/>
      <c r="G177" s="1051"/>
      <c r="H177" s="780"/>
      <c r="I177" s="780"/>
      <c r="J177" s="780"/>
    </row>
    <row r="178" spans="1:10">
      <c r="A178" s="1022" t="s">
        <v>319</v>
      </c>
      <c r="B178" s="1039" t="s">
        <v>78</v>
      </c>
      <c r="C178" s="1058">
        <v>0</v>
      </c>
      <c r="D178" s="1049"/>
      <c r="E178" s="1050"/>
      <c r="F178" s="1050"/>
      <c r="G178" s="1051"/>
      <c r="H178" s="780"/>
      <c r="I178" s="780"/>
      <c r="J178" s="780"/>
    </row>
    <row r="179" spans="1:10">
      <c r="A179" s="1042"/>
      <c r="B179" s="1039"/>
      <c r="C179" s="1058"/>
      <c r="D179" s="1049"/>
      <c r="E179" s="1050"/>
      <c r="F179" s="1050"/>
      <c r="G179" s="1051"/>
      <c r="H179" s="780"/>
      <c r="I179" s="780"/>
      <c r="J179" s="780"/>
    </row>
    <row r="180" spans="1:10" ht="25.5">
      <c r="A180" s="1042"/>
      <c r="B180" s="1059" t="s">
        <v>88</v>
      </c>
      <c r="C180" s="1058"/>
      <c r="D180" s="1049"/>
      <c r="E180" s="1050"/>
      <c r="F180" s="1050"/>
      <c r="G180" s="1051"/>
      <c r="H180" s="780"/>
      <c r="I180" s="780"/>
      <c r="J180" s="780"/>
    </row>
    <row r="181" spans="1:10">
      <c r="A181" s="1041">
        <v>40</v>
      </c>
      <c r="B181" s="1040" t="s">
        <v>74</v>
      </c>
      <c r="C181" s="1056">
        <v>3845</v>
      </c>
      <c r="D181" s="1049"/>
      <c r="E181" s="1050"/>
      <c r="F181" s="1050"/>
      <c r="G181" s="1051"/>
      <c r="H181" s="780"/>
      <c r="I181" s="780"/>
      <c r="J181" s="780"/>
    </row>
    <row r="182" spans="1:10">
      <c r="A182" s="1041">
        <v>41</v>
      </c>
      <c r="B182" s="1040" t="s">
        <v>75</v>
      </c>
      <c r="C182" s="1056">
        <v>4358</v>
      </c>
      <c r="D182" s="1049"/>
      <c r="E182" s="1050"/>
      <c r="F182" s="1050"/>
      <c r="G182" s="1051"/>
      <c r="H182" s="780"/>
      <c r="I182" s="780"/>
      <c r="J182" s="780"/>
    </row>
    <row r="183" spans="1:10">
      <c r="A183" s="1041">
        <v>42</v>
      </c>
      <c r="B183" s="1038" t="s">
        <v>320</v>
      </c>
      <c r="C183" s="1053">
        <v>8203</v>
      </c>
      <c r="D183" s="1049"/>
      <c r="E183" s="1050"/>
      <c r="F183" s="1050"/>
      <c r="G183" s="1051"/>
      <c r="H183" s="780"/>
      <c r="I183" s="780"/>
      <c r="J183" s="780"/>
    </row>
    <row r="184" spans="1:10">
      <c r="A184" s="1042" t="s">
        <v>96</v>
      </c>
      <c r="B184" s="1039" t="s">
        <v>211</v>
      </c>
      <c r="C184" s="1052">
        <v>5075</v>
      </c>
      <c r="D184" s="1049"/>
      <c r="E184" s="1050"/>
      <c r="F184" s="1050"/>
      <c r="G184" s="1051"/>
      <c r="H184" s="780"/>
      <c r="I184" s="780"/>
      <c r="J184" s="780"/>
    </row>
    <row r="185" spans="1:10">
      <c r="A185" s="1042" t="s">
        <v>97</v>
      </c>
      <c r="B185" s="1039" t="s">
        <v>212</v>
      </c>
      <c r="C185" s="1056">
        <v>1741</v>
      </c>
      <c r="D185" s="1060"/>
      <c r="E185" s="1061"/>
      <c r="F185" s="1050"/>
      <c r="G185" s="1051"/>
      <c r="H185" s="780"/>
      <c r="I185" s="780"/>
      <c r="J185" s="780"/>
    </row>
    <row r="186" spans="1:10">
      <c r="A186" s="1022" t="s">
        <v>98</v>
      </c>
      <c r="B186" s="1039" t="s">
        <v>213</v>
      </c>
      <c r="C186" s="1016">
        <v>1387</v>
      </c>
      <c r="D186" s="1019"/>
      <c r="E186" s="1019"/>
      <c r="F186" s="1050"/>
      <c r="G186" s="780"/>
      <c r="H186" s="780"/>
      <c r="I186" s="780"/>
      <c r="J186" s="780"/>
    </row>
    <row r="187" spans="1:10">
      <c r="A187" s="1041">
        <v>43</v>
      </c>
      <c r="B187" s="1038" t="s">
        <v>321</v>
      </c>
      <c r="C187" s="1057">
        <v>152</v>
      </c>
      <c r="D187" s="1019"/>
      <c r="E187" s="1019"/>
      <c r="F187" s="1050"/>
      <c r="G187" s="780"/>
      <c r="H187" s="780"/>
      <c r="I187" s="780"/>
      <c r="J187" s="780"/>
    </row>
    <row r="188" spans="1:10">
      <c r="A188" s="1042" t="s">
        <v>100</v>
      </c>
      <c r="B188" s="1039" t="s">
        <v>76</v>
      </c>
      <c r="C188" s="1058">
        <v>0</v>
      </c>
      <c r="D188" s="1019"/>
      <c r="E188" s="1019"/>
      <c r="F188" s="1050"/>
      <c r="G188" s="780"/>
      <c r="H188" s="780"/>
      <c r="I188" s="780"/>
      <c r="J188" s="780"/>
    </row>
    <row r="189" spans="1:10">
      <c r="A189" s="1042" t="s">
        <v>101</v>
      </c>
      <c r="B189" s="1039" t="s">
        <v>77</v>
      </c>
      <c r="C189" s="1058">
        <v>0</v>
      </c>
      <c r="D189" s="1019"/>
      <c r="E189" s="1019"/>
      <c r="F189" s="1050"/>
      <c r="G189" s="780"/>
      <c r="H189" s="780"/>
      <c r="I189" s="780"/>
      <c r="J189" s="780"/>
    </row>
    <row r="190" spans="1:10">
      <c r="A190" s="1019" t="s">
        <v>102</v>
      </c>
      <c r="B190" s="1020" t="s">
        <v>78</v>
      </c>
      <c r="C190" s="1058">
        <v>152</v>
      </c>
      <c r="D190" s="1019"/>
      <c r="E190" s="1019"/>
      <c r="F190" s="1050"/>
      <c r="G190" s="780"/>
      <c r="H190" s="780"/>
      <c r="I190" s="780"/>
      <c r="J190" s="780"/>
    </row>
    <row r="191" spans="1:10">
      <c r="A191" s="780"/>
      <c r="B191" s="780"/>
      <c r="C191" s="780"/>
      <c r="D191" s="1062"/>
      <c r="E191" s="1063"/>
      <c r="F191" s="780"/>
      <c r="G191" s="780"/>
      <c r="H191" s="780"/>
      <c r="I191" s="780"/>
      <c r="J191" s="780"/>
    </row>
    <row r="192" spans="1:10">
      <c r="A192" s="1019"/>
      <c r="B192" s="1014" t="s">
        <v>322</v>
      </c>
      <c r="C192" s="1058" t="s">
        <v>90</v>
      </c>
      <c r="D192" s="1283" t="s">
        <v>81</v>
      </c>
      <c r="E192" s="1283"/>
      <c r="F192" s="1046"/>
      <c r="G192" s="780"/>
      <c r="H192" s="780"/>
      <c r="I192" s="780"/>
      <c r="J192" s="780"/>
    </row>
    <row r="193" spans="1:10">
      <c r="A193" s="1019"/>
      <c r="B193" s="1017"/>
      <c r="C193" s="1058"/>
      <c r="D193" s="1064" t="s">
        <v>82</v>
      </c>
      <c r="E193" s="1064" t="s">
        <v>83</v>
      </c>
      <c r="F193" s="1065"/>
      <c r="G193" s="780"/>
      <c r="H193" s="780"/>
      <c r="I193" s="780"/>
      <c r="J193" s="780"/>
    </row>
    <row r="194" spans="1:10">
      <c r="A194" s="1007">
        <v>44</v>
      </c>
      <c r="B194" s="1014" t="s">
        <v>323</v>
      </c>
      <c r="C194" s="1057">
        <v>210</v>
      </c>
      <c r="D194" s="1023">
        <v>14</v>
      </c>
      <c r="E194" s="1023">
        <v>0</v>
      </c>
      <c r="F194" s="1066"/>
      <c r="G194" s="780"/>
      <c r="H194" s="780"/>
      <c r="I194" s="780"/>
      <c r="J194" s="780"/>
    </row>
    <row r="195" spans="1:10">
      <c r="A195" s="1019" t="s">
        <v>121</v>
      </c>
      <c r="B195" s="1020" t="s">
        <v>181</v>
      </c>
      <c r="C195" s="1058">
        <v>208</v>
      </c>
      <c r="D195" s="1019">
        <v>12</v>
      </c>
      <c r="E195" s="1019">
        <v>0</v>
      </c>
      <c r="F195" s="1050"/>
      <c r="G195" s="780"/>
      <c r="H195" s="780"/>
      <c r="I195" s="780"/>
      <c r="J195" s="780"/>
    </row>
    <row r="196" spans="1:10">
      <c r="A196" s="1019" t="s">
        <v>122</v>
      </c>
      <c r="B196" s="1020" t="s">
        <v>182</v>
      </c>
      <c r="C196" s="1058">
        <v>2</v>
      </c>
      <c r="D196" s="1019">
        <v>2</v>
      </c>
      <c r="E196" s="1019">
        <v>0</v>
      </c>
      <c r="F196" s="1050"/>
      <c r="G196" s="780"/>
      <c r="H196" s="780"/>
      <c r="I196" s="780"/>
      <c r="J196" s="780"/>
    </row>
    <row r="197" spans="1:10">
      <c r="A197" s="1022" t="s">
        <v>123</v>
      </c>
      <c r="B197" s="1020" t="s">
        <v>180</v>
      </c>
      <c r="C197" s="1058">
        <v>0</v>
      </c>
      <c r="D197" s="1019">
        <v>0</v>
      </c>
      <c r="E197" s="1019">
        <v>0</v>
      </c>
      <c r="F197" s="1050"/>
      <c r="G197" s="780"/>
      <c r="H197" s="780"/>
      <c r="I197" s="780"/>
      <c r="J197" s="780"/>
    </row>
    <row r="198" spans="1:10">
      <c r="A198" s="1007">
        <v>45</v>
      </c>
      <c r="B198" s="1014" t="s">
        <v>324</v>
      </c>
      <c r="C198" s="1053">
        <v>5747</v>
      </c>
      <c r="D198" s="1023">
        <v>242</v>
      </c>
      <c r="E198" s="1023">
        <v>0</v>
      </c>
      <c r="F198" s="1066"/>
      <c r="G198" s="780"/>
      <c r="H198" s="780"/>
      <c r="I198" s="780"/>
      <c r="J198" s="780"/>
    </row>
    <row r="199" spans="1:10">
      <c r="A199" s="1019" t="s">
        <v>325</v>
      </c>
      <c r="B199" s="1020" t="s">
        <v>80</v>
      </c>
      <c r="C199" s="1056">
        <v>5728</v>
      </c>
      <c r="D199" s="1019">
        <v>223</v>
      </c>
      <c r="E199" s="1019">
        <v>0</v>
      </c>
      <c r="F199" s="1050"/>
      <c r="G199" s="780"/>
      <c r="H199" s="780"/>
      <c r="I199" s="780"/>
      <c r="J199" s="780"/>
    </row>
    <row r="200" spans="1:10">
      <c r="A200" s="1019" t="s">
        <v>326</v>
      </c>
      <c r="B200" s="1020" t="s">
        <v>60</v>
      </c>
      <c r="C200" s="1058">
        <v>19</v>
      </c>
      <c r="D200" s="1019">
        <v>19</v>
      </c>
      <c r="E200" s="1019">
        <v>0</v>
      </c>
      <c r="F200" s="1050"/>
      <c r="G200" s="780"/>
      <c r="H200" s="780"/>
      <c r="I200" s="780"/>
      <c r="J200" s="780"/>
    </row>
    <row r="201" spans="1:10">
      <c r="A201" s="1022" t="s">
        <v>327</v>
      </c>
      <c r="B201" s="1020" t="s">
        <v>180</v>
      </c>
      <c r="C201" s="1058">
        <v>0</v>
      </c>
      <c r="D201" s="1019">
        <v>0</v>
      </c>
      <c r="E201" s="1019">
        <v>0</v>
      </c>
      <c r="F201" s="1050"/>
      <c r="G201" s="780"/>
      <c r="H201" s="780"/>
      <c r="I201" s="780"/>
      <c r="J201" s="780"/>
    </row>
    <row r="202" spans="1:10">
      <c r="A202" s="1067"/>
      <c r="B202" s="1068"/>
      <c r="C202" s="1050"/>
      <c r="D202" s="1069"/>
      <c r="E202" s="1070"/>
      <c r="F202" s="1050"/>
      <c r="G202" s="780"/>
      <c r="H202" s="780"/>
      <c r="I202" s="780"/>
      <c r="J202" s="780"/>
    </row>
    <row r="203" spans="1:10">
      <c r="A203" s="1007">
        <v>46</v>
      </c>
      <c r="B203" s="1017" t="s">
        <v>203</v>
      </c>
      <c r="C203" s="1058">
        <v>20</v>
      </c>
      <c r="D203" s="1019">
        <v>8</v>
      </c>
      <c r="E203" s="1019">
        <v>0</v>
      </c>
      <c r="F203" s="1050"/>
      <c r="G203" s="780"/>
      <c r="H203" s="780"/>
      <c r="I203" s="780"/>
      <c r="J203" s="780"/>
    </row>
    <row r="204" spans="1:10">
      <c r="A204" s="1007">
        <v>47</v>
      </c>
      <c r="B204" s="1071" t="s">
        <v>204</v>
      </c>
      <c r="C204" s="1058">
        <v>28</v>
      </c>
      <c r="D204" s="1019">
        <v>14</v>
      </c>
      <c r="E204" s="1019">
        <v>0</v>
      </c>
      <c r="F204" s="1050"/>
      <c r="G204" s="780"/>
      <c r="H204" s="780"/>
      <c r="I204" s="780"/>
      <c r="J204" s="780"/>
    </row>
    <row r="205" spans="1:10">
      <c r="A205" s="1007">
        <v>48</v>
      </c>
      <c r="B205" s="1017" t="s">
        <v>179</v>
      </c>
      <c r="C205" s="1058">
        <v>4</v>
      </c>
      <c r="D205" s="1019">
        <v>0</v>
      </c>
      <c r="E205" s="1019"/>
      <c r="F205" s="1050"/>
      <c r="G205" s="780"/>
      <c r="H205" s="780"/>
      <c r="I205" s="780"/>
      <c r="J205" s="780"/>
    </row>
    <row r="206" spans="1:10">
      <c r="A206" s="1007">
        <v>49</v>
      </c>
      <c r="B206" s="1017" t="s">
        <v>61</v>
      </c>
      <c r="C206" s="1058">
        <v>38</v>
      </c>
      <c r="D206" s="1019">
        <v>0</v>
      </c>
      <c r="E206" s="1019">
        <v>0</v>
      </c>
      <c r="F206" s="1050"/>
      <c r="G206" s="780"/>
      <c r="H206" s="780"/>
      <c r="I206" s="780"/>
      <c r="J206" s="780"/>
    </row>
    <row r="207" spans="1:10">
      <c r="A207" s="1072">
        <v>50</v>
      </c>
      <c r="B207" s="1073" t="s">
        <v>202</v>
      </c>
      <c r="C207" s="1074">
        <v>0</v>
      </c>
      <c r="D207" s="1075">
        <v>0</v>
      </c>
      <c r="E207" s="1076">
        <v>0</v>
      </c>
      <c r="F207" s="1074"/>
      <c r="G207" s="780"/>
      <c r="H207" s="780"/>
      <c r="I207" s="780"/>
      <c r="J207" s="780"/>
    </row>
    <row r="208" spans="1:10">
      <c r="A208" s="1074"/>
      <c r="B208" s="1077"/>
      <c r="C208" s="1074"/>
      <c r="D208" s="1074"/>
      <c r="E208" s="1074"/>
      <c r="F208" s="1074"/>
      <c r="G208" s="780"/>
      <c r="H208" s="780"/>
      <c r="I208" s="780"/>
      <c r="J208" s="780"/>
    </row>
    <row r="209" spans="1:10">
      <c r="A209" s="1074"/>
      <c r="B209" s="1014" t="s">
        <v>364</v>
      </c>
      <c r="C209" s="1074"/>
      <c r="D209" s="1074"/>
      <c r="E209" s="1074"/>
      <c r="F209" s="1074"/>
      <c r="G209" s="780"/>
      <c r="H209" s="780"/>
      <c r="I209" s="780"/>
      <c r="J209" s="780"/>
    </row>
    <row r="210" spans="1:10">
      <c r="A210" s="1078" t="s">
        <v>86</v>
      </c>
      <c r="B210" s="1050" t="s">
        <v>8</v>
      </c>
      <c r="C210" s="1037" t="s">
        <v>50</v>
      </c>
      <c r="D210" s="1037" t="s">
        <v>51</v>
      </c>
      <c r="E210" s="1037" t="s">
        <v>110</v>
      </c>
      <c r="F210" s="1074"/>
      <c r="G210" s="780"/>
      <c r="H210" s="780"/>
      <c r="I210" s="780"/>
      <c r="J210" s="780"/>
    </row>
    <row r="211" spans="1:10">
      <c r="A211" s="1031">
        <v>51</v>
      </c>
      <c r="B211" s="1014" t="s">
        <v>328</v>
      </c>
      <c r="C211" s="1023"/>
      <c r="D211" s="1023"/>
      <c r="E211" s="1037"/>
      <c r="F211" s="1017"/>
      <c r="G211" s="780"/>
      <c r="H211" s="780"/>
      <c r="I211" s="780"/>
      <c r="J211" s="780"/>
    </row>
    <row r="212" spans="1:10">
      <c r="A212" s="1022" t="s">
        <v>329</v>
      </c>
      <c r="B212" s="1020" t="s">
        <v>226</v>
      </c>
      <c r="C212" s="1037">
        <v>0</v>
      </c>
      <c r="D212" s="1037">
        <v>0</v>
      </c>
      <c r="E212" s="1037">
        <v>70</v>
      </c>
      <c r="F212" s="1017"/>
      <c r="G212" s="780"/>
      <c r="H212" s="780"/>
      <c r="I212" s="780"/>
      <c r="J212" s="780"/>
    </row>
    <row r="213" spans="1:10">
      <c r="A213" s="1022" t="s">
        <v>330</v>
      </c>
      <c r="B213" s="1021" t="s">
        <v>128</v>
      </c>
      <c r="C213" s="1037">
        <v>0</v>
      </c>
      <c r="D213" s="1037">
        <v>0</v>
      </c>
      <c r="E213" s="1037">
        <v>0</v>
      </c>
      <c r="F213" s="1017"/>
      <c r="G213" s="780"/>
      <c r="H213" s="780"/>
      <c r="I213" s="780"/>
      <c r="J213" s="780"/>
    </row>
    <row r="214" spans="1:10">
      <c r="A214" s="1022" t="s">
        <v>331</v>
      </c>
      <c r="B214" s="1020" t="s">
        <v>227</v>
      </c>
      <c r="C214" s="1037">
        <v>24</v>
      </c>
      <c r="D214" s="1037">
        <v>0</v>
      </c>
      <c r="E214" s="1037">
        <v>24</v>
      </c>
      <c r="F214" s="1017"/>
      <c r="G214" s="780"/>
      <c r="H214" s="780"/>
      <c r="I214" s="780"/>
      <c r="J214" s="780"/>
    </row>
    <row r="215" spans="1:10">
      <c r="A215" s="1022" t="s">
        <v>332</v>
      </c>
      <c r="B215" s="1021" t="s">
        <v>130</v>
      </c>
      <c r="C215" s="1037">
        <v>0</v>
      </c>
      <c r="D215" s="1037">
        <v>0</v>
      </c>
      <c r="E215" s="1037">
        <v>0</v>
      </c>
      <c r="F215" s="1017"/>
      <c r="G215" s="780"/>
      <c r="H215" s="780"/>
      <c r="I215" s="780"/>
      <c r="J215" s="780"/>
    </row>
    <row r="216" spans="1:10">
      <c r="A216" s="1022" t="s">
        <v>333</v>
      </c>
      <c r="B216" s="1020" t="s">
        <v>232</v>
      </c>
      <c r="C216" s="1037">
        <v>0</v>
      </c>
      <c r="D216" s="1037">
        <v>0</v>
      </c>
      <c r="E216" s="1037">
        <v>0</v>
      </c>
      <c r="F216" s="1017"/>
      <c r="G216" s="780"/>
      <c r="H216" s="780"/>
      <c r="I216" s="780"/>
      <c r="J216" s="780"/>
    </row>
    <row r="217" spans="1:10">
      <c r="A217" s="1022" t="s">
        <v>334</v>
      </c>
      <c r="B217" s="1021" t="s">
        <v>131</v>
      </c>
      <c r="C217" s="1037">
        <v>0</v>
      </c>
      <c r="D217" s="1037">
        <v>0</v>
      </c>
      <c r="E217" s="1037">
        <v>0</v>
      </c>
      <c r="F217" s="1017"/>
      <c r="G217" s="780"/>
      <c r="H217" s="780"/>
      <c r="I217" s="780"/>
      <c r="J217" s="780"/>
    </row>
    <row r="218" spans="1:10">
      <c r="A218" s="1022" t="s">
        <v>335</v>
      </c>
      <c r="B218" s="1020" t="s">
        <v>233</v>
      </c>
      <c r="C218" s="1037">
        <v>31</v>
      </c>
      <c r="D218" s="1037">
        <v>0</v>
      </c>
      <c r="E218" s="1037">
        <v>31</v>
      </c>
      <c r="F218" s="1017"/>
      <c r="G218" s="780"/>
      <c r="H218" s="780"/>
      <c r="I218" s="780"/>
      <c r="J218" s="780"/>
    </row>
    <row r="219" spans="1:10">
      <c r="A219" s="1022" t="s">
        <v>336</v>
      </c>
      <c r="B219" s="1021" t="s">
        <v>132</v>
      </c>
      <c r="C219" s="1037">
        <v>0</v>
      </c>
      <c r="D219" s="1037">
        <v>0</v>
      </c>
      <c r="E219" s="1037">
        <v>6</v>
      </c>
      <c r="F219" s="1017"/>
      <c r="G219" s="780"/>
      <c r="H219" s="780"/>
      <c r="I219" s="780"/>
      <c r="J219" s="780"/>
    </row>
    <row r="220" spans="1:10">
      <c r="A220" s="1022" t="s">
        <v>337</v>
      </c>
      <c r="B220" s="1020" t="s">
        <v>234</v>
      </c>
      <c r="C220" s="1037">
        <v>1</v>
      </c>
      <c r="D220" s="1037">
        <v>0</v>
      </c>
      <c r="E220" s="1037">
        <v>5</v>
      </c>
      <c r="F220" s="1017"/>
      <c r="G220" s="780"/>
      <c r="H220" s="780"/>
      <c r="I220" s="780"/>
      <c r="J220" s="780"/>
    </row>
    <row r="221" spans="1:10">
      <c r="A221" s="1022" t="s">
        <v>338</v>
      </c>
      <c r="B221" s="1021" t="s">
        <v>133</v>
      </c>
      <c r="C221" s="1037">
        <v>1</v>
      </c>
      <c r="D221" s="1037">
        <v>0</v>
      </c>
      <c r="E221" s="1037">
        <v>5</v>
      </c>
      <c r="F221" s="1017"/>
      <c r="G221" s="780"/>
      <c r="H221" s="780"/>
      <c r="I221" s="780"/>
      <c r="J221" s="780"/>
    </row>
    <row r="222" spans="1:10">
      <c r="A222" s="1022" t="s">
        <v>339</v>
      </c>
      <c r="B222" s="1020" t="s">
        <v>235</v>
      </c>
      <c r="C222" s="1037">
        <v>1</v>
      </c>
      <c r="D222" s="1037">
        <v>0</v>
      </c>
      <c r="E222" s="1037">
        <v>1</v>
      </c>
      <c r="F222" s="1017"/>
      <c r="G222" s="780"/>
      <c r="H222" s="780"/>
      <c r="I222" s="780"/>
      <c r="J222" s="780"/>
    </row>
    <row r="223" spans="1:10">
      <c r="A223" s="1022" t="s">
        <v>340</v>
      </c>
      <c r="B223" s="1021" t="s">
        <v>134</v>
      </c>
      <c r="C223" s="1037">
        <v>0</v>
      </c>
      <c r="D223" s="1037">
        <v>0</v>
      </c>
      <c r="E223" s="1037">
        <v>0</v>
      </c>
      <c r="F223" s="1017"/>
      <c r="G223" s="780"/>
      <c r="H223" s="780"/>
      <c r="I223" s="780"/>
      <c r="J223" s="780"/>
    </row>
    <row r="224" spans="1:10">
      <c r="A224" s="1022" t="s">
        <v>341</v>
      </c>
      <c r="B224" s="1020" t="s">
        <v>236</v>
      </c>
      <c r="C224" s="1037">
        <v>0</v>
      </c>
      <c r="D224" s="1037">
        <v>0</v>
      </c>
      <c r="E224" s="1037">
        <v>0</v>
      </c>
      <c r="F224" s="1017"/>
      <c r="G224" s="780"/>
      <c r="H224" s="780"/>
      <c r="I224" s="780"/>
      <c r="J224" s="780"/>
    </row>
    <row r="225" spans="1:10">
      <c r="A225" s="1022" t="s">
        <v>342</v>
      </c>
      <c r="B225" s="1021" t="s">
        <v>135</v>
      </c>
      <c r="C225" s="1037">
        <v>0</v>
      </c>
      <c r="D225" s="1037">
        <v>0</v>
      </c>
      <c r="E225" s="1037">
        <v>0</v>
      </c>
      <c r="F225" s="1017"/>
      <c r="G225" s="1079"/>
      <c r="H225" s="1079"/>
      <c r="I225" s="780"/>
      <c r="J225" s="780"/>
    </row>
    <row r="226" spans="1:10">
      <c r="A226" s="1022" t="s">
        <v>343</v>
      </c>
      <c r="B226" s="1020" t="s">
        <v>237</v>
      </c>
      <c r="C226" s="1037">
        <v>3</v>
      </c>
      <c r="D226" s="1037">
        <v>0</v>
      </c>
      <c r="E226" s="1037">
        <v>3</v>
      </c>
      <c r="F226" s="1017"/>
      <c r="G226" s="1079"/>
      <c r="H226" s="1079"/>
      <c r="I226" s="780"/>
      <c r="J226" s="780"/>
    </row>
    <row r="227" spans="1:10" ht="25.5">
      <c r="A227" s="1022" t="s">
        <v>344</v>
      </c>
      <c r="B227" s="1080" t="s">
        <v>136</v>
      </c>
      <c r="C227" s="1037">
        <v>0</v>
      </c>
      <c r="D227" s="1037">
        <v>0</v>
      </c>
      <c r="E227" s="1037">
        <v>0</v>
      </c>
      <c r="F227" s="1017"/>
      <c r="G227" s="1079"/>
      <c r="H227" s="1079"/>
      <c r="I227" s="780"/>
      <c r="J227" s="780"/>
    </row>
    <row r="228" spans="1:10">
      <c r="A228" s="1074"/>
      <c r="B228" s="1077"/>
      <c r="C228" s="1074"/>
      <c r="D228" s="1074"/>
      <c r="E228" s="1074"/>
      <c r="F228" s="1074"/>
      <c r="G228" s="780"/>
      <c r="H228" s="780"/>
      <c r="I228" s="780"/>
      <c r="J228" s="780"/>
    </row>
    <row r="229" spans="1:10">
      <c r="A229" s="1074"/>
      <c r="B229" s="1081" t="s">
        <v>345</v>
      </c>
      <c r="C229" s="1021"/>
      <c r="D229" s="1082"/>
      <c r="E229" s="1082"/>
      <c r="F229" s="1082"/>
      <c r="G229" s="780"/>
      <c r="H229" s="780"/>
      <c r="I229" s="780"/>
      <c r="J229" s="780"/>
    </row>
    <row r="230" spans="1:10" ht="25.5">
      <c r="A230" s="1022" t="s">
        <v>346</v>
      </c>
      <c r="B230" s="1083" t="s">
        <v>238</v>
      </c>
      <c r="C230" s="1084" t="s">
        <v>377</v>
      </c>
      <c r="D230" s="1074"/>
      <c r="E230" s="1074"/>
      <c r="F230" s="1074"/>
      <c r="G230" s="780"/>
      <c r="H230" s="780"/>
      <c r="I230" s="780"/>
      <c r="J230" s="780"/>
    </row>
    <row r="231" spans="1:10">
      <c r="A231" s="1022" t="s">
        <v>347</v>
      </c>
      <c r="B231" s="1080" t="s">
        <v>115</v>
      </c>
      <c r="C231" s="1085">
        <v>2852</v>
      </c>
      <c r="D231" s="1074"/>
      <c r="E231" s="1074"/>
      <c r="F231" s="1074"/>
      <c r="G231" s="780"/>
      <c r="H231" s="780"/>
      <c r="I231" s="780"/>
      <c r="J231" s="780"/>
    </row>
    <row r="232" spans="1:10" ht="25.5">
      <c r="A232" s="1022" t="s">
        <v>348</v>
      </c>
      <c r="B232" s="1083" t="s">
        <v>239</v>
      </c>
      <c r="C232" s="1086">
        <v>230</v>
      </c>
      <c r="D232" s="1074"/>
      <c r="E232" s="1074"/>
      <c r="F232" s="1074"/>
      <c r="G232" s="780"/>
      <c r="H232" s="780"/>
      <c r="I232" s="780"/>
      <c r="J232" s="780"/>
    </row>
    <row r="233" spans="1:10">
      <c r="A233" s="1022" t="s">
        <v>349</v>
      </c>
      <c r="B233" s="1080" t="s">
        <v>116</v>
      </c>
      <c r="C233" s="1086">
        <v>346</v>
      </c>
      <c r="D233" s="1074"/>
      <c r="E233" s="1074"/>
      <c r="F233" s="1074"/>
      <c r="G233" s="780"/>
      <c r="H233" s="780"/>
      <c r="I233" s="780"/>
      <c r="J233" s="780"/>
    </row>
    <row r="234" spans="1:10" ht="25.5">
      <c r="A234" s="1022" t="s">
        <v>350</v>
      </c>
      <c r="B234" s="1083" t="s">
        <v>240</v>
      </c>
      <c r="C234" s="1086">
        <v>290</v>
      </c>
      <c r="D234" s="1074"/>
      <c r="E234" s="1074"/>
      <c r="F234" s="1074"/>
      <c r="G234" s="780"/>
      <c r="H234" s="780"/>
      <c r="I234" s="780"/>
      <c r="J234" s="780"/>
    </row>
    <row r="235" spans="1:10">
      <c r="A235" s="1022" t="s">
        <v>351</v>
      </c>
      <c r="B235" s="1080" t="s">
        <v>117</v>
      </c>
      <c r="C235" s="1087">
        <v>179</v>
      </c>
      <c r="D235" s="1074"/>
      <c r="E235" s="1074"/>
      <c r="F235" s="1074"/>
      <c r="G235" s="780"/>
      <c r="H235" s="780"/>
      <c r="I235" s="780"/>
      <c r="J235" s="780"/>
    </row>
    <row r="236" spans="1:10">
      <c r="A236" s="1088"/>
      <c r="B236" s="1089"/>
      <c r="C236" s="1074"/>
      <c r="D236" s="1074"/>
      <c r="E236" s="1074"/>
      <c r="F236" s="1074"/>
      <c r="G236" s="780"/>
      <c r="H236" s="780"/>
      <c r="I236" s="780"/>
      <c r="J236" s="780"/>
    </row>
    <row r="237" spans="1:10" ht="15.75">
      <c r="A237" s="1279" t="s">
        <v>89</v>
      </c>
      <c r="B237" s="1284"/>
      <c r="C237" s="1284"/>
      <c r="D237" s="1284"/>
      <c r="E237" s="1284"/>
      <c r="F237" s="1284"/>
      <c r="G237" s="1285"/>
      <c r="H237" s="1006"/>
      <c r="I237" s="780"/>
      <c r="J237" s="780"/>
    </row>
    <row r="238" spans="1:10">
      <c r="A238" s="1019" t="s">
        <v>86</v>
      </c>
      <c r="B238" s="1019" t="s">
        <v>8</v>
      </c>
      <c r="C238" s="1019" t="s">
        <v>0</v>
      </c>
      <c r="D238" s="1019"/>
      <c r="E238" s="1058"/>
      <c r="F238" s="1058"/>
      <c r="G238" s="1017"/>
      <c r="H238" s="1018"/>
      <c r="I238" s="780"/>
      <c r="J238" s="780"/>
    </row>
    <row r="239" spans="1:10">
      <c r="A239" s="1007">
        <v>52</v>
      </c>
      <c r="B239" s="1017" t="s">
        <v>62</v>
      </c>
      <c r="C239" s="1019">
        <v>91</v>
      </c>
      <c r="D239" s="1019"/>
      <c r="E239" s="1058"/>
      <c r="F239" s="1058"/>
      <c r="G239" s="1017"/>
      <c r="H239" s="1018"/>
      <c r="I239" s="780"/>
      <c r="J239" s="780"/>
    </row>
    <row r="240" spans="1:10">
      <c r="A240" s="1007">
        <v>53</v>
      </c>
      <c r="B240" s="1017" t="s">
        <v>63</v>
      </c>
      <c r="C240" s="1016">
        <v>24548</v>
      </c>
      <c r="D240" s="1019"/>
      <c r="E240" s="1058"/>
      <c r="F240" s="1058"/>
      <c r="G240" s="1017"/>
      <c r="H240" s="1018"/>
      <c r="I240" s="780"/>
      <c r="J240" s="780"/>
    </row>
    <row r="241" spans="1:10">
      <c r="A241" s="1007">
        <v>54</v>
      </c>
      <c r="B241" s="1017" t="s">
        <v>215</v>
      </c>
      <c r="C241" s="1019">
        <v>62</v>
      </c>
      <c r="D241" s="1019"/>
      <c r="E241" s="1058"/>
      <c r="F241" s="1058"/>
      <c r="G241" s="1017"/>
      <c r="H241" s="1018"/>
      <c r="I241" s="780"/>
      <c r="J241" s="780"/>
    </row>
    <row r="242" spans="1:10">
      <c r="A242" s="1007"/>
      <c r="B242" s="1017"/>
      <c r="C242" s="1019"/>
      <c r="D242" s="1019"/>
      <c r="E242" s="1058"/>
      <c r="F242" s="1058"/>
      <c r="G242" s="1017"/>
      <c r="H242" s="1018"/>
      <c r="I242" s="780"/>
      <c r="J242" s="780"/>
    </row>
    <row r="243" spans="1:10" ht="24">
      <c r="A243" s="1007"/>
      <c r="B243" s="1017"/>
      <c r="C243" s="1019" t="s">
        <v>140</v>
      </c>
      <c r="D243" s="1019" t="s">
        <v>141</v>
      </c>
      <c r="E243" s="1058" t="s">
        <v>142</v>
      </c>
      <c r="F243" s="1019" t="s">
        <v>143</v>
      </c>
      <c r="G243" s="1090" t="s">
        <v>352</v>
      </c>
      <c r="H243" s="1091"/>
      <c r="I243" s="780"/>
      <c r="J243" s="780"/>
    </row>
    <row r="244" spans="1:10">
      <c r="A244" s="1007"/>
      <c r="B244" s="1017"/>
      <c r="C244" s="1019"/>
      <c r="D244" s="1019"/>
      <c r="E244" s="1058"/>
      <c r="F244" s="1058"/>
      <c r="G244" s="1019"/>
      <c r="H244" s="1091"/>
      <c r="I244" s="780"/>
      <c r="J244" s="780"/>
    </row>
    <row r="245" spans="1:10">
      <c r="A245" s="1007">
        <v>55</v>
      </c>
      <c r="B245" s="1014" t="s">
        <v>217</v>
      </c>
      <c r="C245" s="1023">
        <v>208</v>
      </c>
      <c r="D245" s="1023">
        <v>169</v>
      </c>
      <c r="E245" s="1057">
        <v>182</v>
      </c>
      <c r="F245" s="1057">
        <v>88</v>
      </c>
      <c r="G245" s="1023">
        <v>647</v>
      </c>
      <c r="H245" s="1066"/>
      <c r="I245" s="780"/>
      <c r="J245" s="780"/>
    </row>
    <row r="246" spans="1:10">
      <c r="A246" s="1019" t="s">
        <v>353</v>
      </c>
      <c r="B246" s="1020" t="s">
        <v>64</v>
      </c>
      <c r="C246" s="1019">
        <v>154</v>
      </c>
      <c r="D246" s="1019">
        <v>99</v>
      </c>
      <c r="E246" s="1058">
        <v>117</v>
      </c>
      <c r="F246" s="1058">
        <v>68</v>
      </c>
      <c r="G246" s="1023">
        <v>438</v>
      </c>
      <c r="H246" s="1018"/>
      <c r="I246" s="780"/>
      <c r="J246" s="1019"/>
    </row>
    <row r="247" spans="1:10">
      <c r="A247" s="1022" t="s">
        <v>354</v>
      </c>
      <c r="B247" s="1020" t="s">
        <v>65</v>
      </c>
      <c r="C247" s="1019">
        <v>1</v>
      </c>
      <c r="D247" s="1019">
        <v>1</v>
      </c>
      <c r="E247" s="1058">
        <v>1</v>
      </c>
      <c r="F247" s="1058">
        <v>0</v>
      </c>
      <c r="G247" s="1023">
        <v>3</v>
      </c>
      <c r="H247" s="1018"/>
      <c r="I247" s="780"/>
      <c r="J247" s="780"/>
    </row>
    <row r="248" spans="1:10">
      <c r="A248" s="1022" t="s">
        <v>355</v>
      </c>
      <c r="B248" s="1020" t="s">
        <v>66</v>
      </c>
      <c r="C248" s="1019">
        <v>1</v>
      </c>
      <c r="D248" s="1019">
        <v>1</v>
      </c>
      <c r="E248" s="1058">
        <v>3</v>
      </c>
      <c r="F248" s="1058">
        <v>0</v>
      </c>
      <c r="G248" s="1023">
        <v>5</v>
      </c>
      <c r="H248" s="1018"/>
      <c r="I248" s="780"/>
      <c r="J248" s="780"/>
    </row>
    <row r="249" spans="1:10">
      <c r="A249" s="1022" t="s">
        <v>356</v>
      </c>
      <c r="B249" s="1020" t="s">
        <v>67</v>
      </c>
      <c r="C249" s="1019">
        <v>51</v>
      </c>
      <c r="D249" s="1019">
        <v>50</v>
      </c>
      <c r="E249" s="1058">
        <v>32</v>
      </c>
      <c r="F249" s="1058">
        <v>17</v>
      </c>
      <c r="G249" s="1023">
        <v>150</v>
      </c>
      <c r="H249" s="1018"/>
      <c r="I249" s="780"/>
      <c r="J249" s="780"/>
    </row>
    <row r="250" spans="1:10">
      <c r="A250" s="1019" t="s">
        <v>357</v>
      </c>
      <c r="B250" s="1020" t="s">
        <v>68</v>
      </c>
      <c r="C250" s="1019">
        <v>1</v>
      </c>
      <c r="D250" s="1019">
        <v>18</v>
      </c>
      <c r="E250" s="1058">
        <v>29</v>
      </c>
      <c r="F250" s="1058">
        <v>3</v>
      </c>
      <c r="G250" s="1023">
        <v>51</v>
      </c>
      <c r="H250" s="1018"/>
      <c r="I250" s="780"/>
      <c r="J250" s="780"/>
    </row>
    <row r="251" spans="1:10" ht="24.75">
      <c r="A251" s="1022" t="s">
        <v>358</v>
      </c>
      <c r="B251" s="1083" t="s">
        <v>183</v>
      </c>
      <c r="C251" s="1019">
        <v>0</v>
      </c>
      <c r="D251" s="1019">
        <v>0</v>
      </c>
      <c r="E251" s="1058">
        <v>0</v>
      </c>
      <c r="F251" s="1058">
        <v>0</v>
      </c>
      <c r="G251" s="1023">
        <v>0</v>
      </c>
      <c r="H251" s="1018"/>
      <c r="I251" s="780"/>
      <c r="J251" s="780"/>
    </row>
    <row r="252" spans="1:10" ht="15">
      <c r="A252" s="780"/>
      <c r="B252" s="1092"/>
      <c r="C252" s="780"/>
      <c r="D252" s="780"/>
      <c r="E252" s="780"/>
      <c r="F252" s="780"/>
      <c r="G252" s="780"/>
      <c r="H252" s="780"/>
      <c r="I252" s="780"/>
      <c r="J252" s="780"/>
    </row>
  </sheetData>
  <mergeCells count="82">
    <mergeCell ref="A145:G145"/>
    <mergeCell ref="B154:C154"/>
    <mergeCell ref="D192:E192"/>
    <mergeCell ref="A237:G237"/>
    <mergeCell ref="A99:G99"/>
    <mergeCell ref="A101:A102"/>
    <mergeCell ref="B101:B102"/>
    <mergeCell ref="C101:E102"/>
    <mergeCell ref="G101:G102"/>
    <mergeCell ref="A144:G144"/>
    <mergeCell ref="D97:E97"/>
    <mergeCell ref="D86:E86"/>
    <mergeCell ref="D87:E87"/>
    <mergeCell ref="D88:E88"/>
    <mergeCell ref="D89:E89"/>
    <mergeCell ref="D90:E90"/>
    <mergeCell ref="D91:E91"/>
    <mergeCell ref="D92:E92"/>
    <mergeCell ref="D93:E93"/>
    <mergeCell ref="D94:E94"/>
    <mergeCell ref="D95:E95"/>
    <mergeCell ref="D96:E96"/>
    <mergeCell ref="D78:E78"/>
    <mergeCell ref="D64:E64"/>
    <mergeCell ref="D65:E65"/>
    <mergeCell ref="D66:E66"/>
    <mergeCell ref="D67:E67"/>
    <mergeCell ref="D68:E68"/>
    <mergeCell ref="D69:E69"/>
    <mergeCell ref="D70:E70"/>
    <mergeCell ref="D71:E71"/>
    <mergeCell ref="D73:E73"/>
    <mergeCell ref="D74:E74"/>
    <mergeCell ref="D75:E75"/>
    <mergeCell ref="D63:E63"/>
    <mergeCell ref="D51:E51"/>
    <mergeCell ref="D52:E52"/>
    <mergeCell ref="D54:E54"/>
    <mergeCell ref="D55:E55"/>
    <mergeCell ref="D56:E56"/>
    <mergeCell ref="D57:E57"/>
    <mergeCell ref="D58:E58"/>
    <mergeCell ref="D59:E59"/>
    <mergeCell ref="D60:E60"/>
    <mergeCell ref="D61:E61"/>
    <mergeCell ref="D62:E62"/>
    <mergeCell ref="D50:E50"/>
    <mergeCell ref="D38:E38"/>
    <mergeCell ref="D39:E39"/>
    <mergeCell ref="A40:G40"/>
    <mergeCell ref="A41:G41"/>
    <mergeCell ref="D42:E42"/>
    <mergeCell ref="C43:E43"/>
    <mergeCell ref="D44:E44"/>
    <mergeCell ref="D45:E45"/>
    <mergeCell ref="D46:E46"/>
    <mergeCell ref="D48:E48"/>
    <mergeCell ref="D49:E49"/>
    <mergeCell ref="D37:E37"/>
    <mergeCell ref="D25:E25"/>
    <mergeCell ref="D26:E26"/>
    <mergeCell ref="D27:E27"/>
    <mergeCell ref="D28:E28"/>
    <mergeCell ref="D29:E29"/>
    <mergeCell ref="D31:E31"/>
    <mergeCell ref="D32:E32"/>
    <mergeCell ref="D33:E33"/>
    <mergeCell ref="D34:E34"/>
    <mergeCell ref="D35:E35"/>
    <mergeCell ref="D36:E36"/>
    <mergeCell ref="A24:G24"/>
    <mergeCell ref="A5:A6"/>
    <mergeCell ref="A7:A8"/>
    <mergeCell ref="A13:A14"/>
    <mergeCell ref="A16:G16"/>
    <mergeCell ref="D17:E17"/>
    <mergeCell ref="D18:E18"/>
    <mergeCell ref="D19:E19"/>
    <mergeCell ref="D20:E20"/>
    <mergeCell ref="D21:E21"/>
    <mergeCell ref="D22:E22"/>
    <mergeCell ref="A23:G23"/>
  </mergeCells>
  <hyperlinks>
    <hyperlink ref="B9"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492"/>
  <sheetViews>
    <sheetView topLeftCell="A35" zoomScale="110" zoomScaleNormal="110" workbookViewId="0">
      <selection activeCell="D38" sqref="D38:E38"/>
    </sheetView>
  </sheetViews>
  <sheetFormatPr defaultColWidth="9.140625" defaultRowHeight="12.75"/>
  <cols>
    <col min="1" max="1" width="11.28515625" customWidth="1"/>
    <col min="2" max="2" width="60.28515625" customWidth="1"/>
    <col min="3" max="3" width="11.28515625" customWidth="1"/>
    <col min="4" max="4" width="10.7109375" customWidth="1"/>
    <col min="5" max="5" width="11.140625" customWidth="1"/>
    <col min="6" max="6" width="6.28515625" customWidth="1"/>
    <col min="7" max="7" width="11.85546875" customWidth="1"/>
  </cols>
  <sheetData>
    <row r="1" spans="1:8" ht="18">
      <c r="A1" s="593"/>
      <c r="B1" s="594" t="s">
        <v>241</v>
      </c>
      <c r="C1" s="594" t="s">
        <v>487</v>
      </c>
      <c r="D1" s="595"/>
      <c r="E1" s="595"/>
      <c r="F1" s="595"/>
      <c r="G1" s="592"/>
      <c r="H1" s="592"/>
    </row>
    <row r="2" spans="1:8">
      <c r="A2" s="597"/>
      <c r="B2" s="592"/>
      <c r="C2" s="597"/>
      <c r="D2" s="597"/>
      <c r="E2" s="597"/>
      <c r="F2" s="597"/>
      <c r="G2" s="592"/>
      <c r="H2" s="592"/>
    </row>
    <row r="3" spans="1:8" ht="15.75">
      <c r="A3" s="598" t="s">
        <v>161</v>
      </c>
      <c r="B3" s="599" t="s">
        <v>734</v>
      </c>
      <c r="C3" s="600"/>
      <c r="D3" s="601" t="s">
        <v>185</v>
      </c>
      <c r="E3" s="600"/>
      <c r="F3" s="600"/>
      <c r="G3" s="592"/>
      <c r="H3" s="592"/>
    </row>
    <row r="4" spans="1:8">
      <c r="A4" s="597"/>
      <c r="B4" s="592"/>
      <c r="C4" s="597"/>
      <c r="D4" s="597"/>
      <c r="E4" s="597"/>
      <c r="F4" s="597"/>
      <c r="G4" s="592"/>
      <c r="H4" s="592"/>
    </row>
    <row r="5" spans="1:8" ht="12.75" customHeight="1">
      <c r="A5" s="1237" t="s">
        <v>189</v>
      </c>
      <c r="B5" s="599" t="s">
        <v>735</v>
      </c>
      <c r="C5" s="600"/>
      <c r="D5" s="602" t="s">
        <v>186</v>
      </c>
      <c r="E5" s="600"/>
      <c r="F5" s="600"/>
      <c r="G5" s="592"/>
      <c r="H5" s="592"/>
    </row>
    <row r="6" spans="1:8" ht="20.25" customHeight="1">
      <c r="A6" s="1237"/>
      <c r="B6" s="600"/>
      <c r="C6" s="597"/>
      <c r="D6" s="603" t="s">
        <v>187</v>
      </c>
      <c r="E6" s="597"/>
      <c r="F6" s="597"/>
      <c r="G6" s="592"/>
      <c r="H6" s="592"/>
    </row>
    <row r="7" spans="1:8" ht="12.75" customHeight="1">
      <c r="A7" s="1237" t="s">
        <v>184</v>
      </c>
      <c r="B7" s="599" t="s">
        <v>736</v>
      </c>
      <c r="C7" s="600"/>
      <c r="D7" s="600"/>
      <c r="E7" s="600"/>
      <c r="F7" s="600"/>
      <c r="G7" s="592"/>
      <c r="H7" s="592"/>
    </row>
    <row r="8" spans="1:8">
      <c r="A8" s="1237"/>
      <c r="B8" s="592"/>
      <c r="C8" s="600"/>
      <c r="D8" s="603" t="s">
        <v>188</v>
      </c>
      <c r="E8" s="597"/>
      <c r="F8" s="597"/>
      <c r="G8" s="592"/>
      <c r="H8" s="592"/>
    </row>
    <row r="9" spans="1:8" ht="15">
      <c r="A9" s="604" t="s">
        <v>190</v>
      </c>
      <c r="B9" s="198" t="s">
        <v>737</v>
      </c>
      <c r="C9" s="600"/>
      <c r="D9" s="597"/>
      <c r="E9" s="597"/>
      <c r="F9" s="597"/>
      <c r="G9" s="592"/>
      <c r="H9" s="592"/>
    </row>
    <row r="10" spans="1:8">
      <c r="A10" s="595"/>
      <c r="B10" s="592"/>
      <c r="C10" s="597"/>
      <c r="D10" s="605" t="s">
        <v>242</v>
      </c>
      <c r="E10" s="597"/>
      <c r="F10" s="606"/>
      <c r="G10" s="592"/>
      <c r="H10" s="592"/>
    </row>
    <row r="11" spans="1:8">
      <c r="A11" s="607" t="s">
        <v>162</v>
      </c>
      <c r="B11" s="599" t="s">
        <v>738</v>
      </c>
      <c r="C11" s="600"/>
      <c r="D11" s="597"/>
      <c r="E11" s="597"/>
      <c r="F11" s="597"/>
      <c r="G11" s="592"/>
      <c r="H11" s="592"/>
    </row>
    <row r="12" spans="1:8">
      <c r="A12" s="597"/>
      <c r="B12" s="592"/>
      <c r="C12" s="597"/>
      <c r="D12" s="595"/>
      <c r="E12" s="597"/>
      <c r="F12" s="597"/>
      <c r="G12" s="592"/>
      <c r="H12" s="592"/>
    </row>
    <row r="13" spans="1:8">
      <c r="A13" s="1238" t="s">
        <v>163</v>
      </c>
      <c r="B13" s="599" t="s">
        <v>739</v>
      </c>
      <c r="C13" s="600"/>
      <c r="D13" s="600"/>
      <c r="E13" s="597"/>
      <c r="F13" s="597"/>
      <c r="G13" s="592"/>
      <c r="H13" s="592"/>
    </row>
    <row r="14" spans="1:8">
      <c r="A14" s="1238"/>
      <c r="B14" s="592"/>
      <c r="C14" s="592"/>
      <c r="D14" s="592"/>
      <c r="E14" s="592"/>
      <c r="F14" s="592"/>
      <c r="G14" s="592"/>
      <c r="H14" s="592"/>
    </row>
    <row r="16" spans="1:8" ht="13.5" customHeight="1">
      <c r="A16" s="1316" t="s">
        <v>494</v>
      </c>
      <c r="B16" s="1317"/>
      <c r="C16" s="1317"/>
      <c r="D16" s="1317"/>
      <c r="E16" s="1317"/>
      <c r="F16" s="1317"/>
      <c r="G16" s="1318"/>
      <c r="H16" s="608"/>
    </row>
    <row r="17" spans="1:8">
      <c r="A17" s="572" t="s">
        <v>86</v>
      </c>
      <c r="B17" s="572" t="s">
        <v>8</v>
      </c>
      <c r="C17" s="572" t="s">
        <v>0</v>
      </c>
      <c r="D17" s="1311" t="s">
        <v>149</v>
      </c>
      <c r="E17" s="1312"/>
      <c r="F17" s="609"/>
      <c r="G17" s="610"/>
      <c r="H17" s="611"/>
    </row>
    <row r="18" spans="1:8">
      <c r="A18" s="572">
        <v>1</v>
      </c>
      <c r="B18" s="573" t="s">
        <v>1</v>
      </c>
      <c r="C18" s="574">
        <v>0</v>
      </c>
      <c r="D18" s="1309"/>
      <c r="E18" s="1310"/>
      <c r="F18" s="612"/>
      <c r="G18" s="613"/>
      <c r="H18" s="600"/>
    </row>
    <row r="19" spans="1:8" ht="25.5">
      <c r="A19" s="575" t="s">
        <v>111</v>
      </c>
      <c r="B19" s="614" t="s">
        <v>228</v>
      </c>
      <c r="C19" s="574">
        <v>0</v>
      </c>
      <c r="D19" s="1297"/>
      <c r="E19" s="1298"/>
      <c r="F19" s="612"/>
      <c r="G19" s="613"/>
      <c r="H19" s="600"/>
    </row>
    <row r="20" spans="1:8" ht="25.5">
      <c r="A20" s="575" t="s">
        <v>112</v>
      </c>
      <c r="B20" s="614" t="s">
        <v>229</v>
      </c>
      <c r="C20" s="574">
        <v>11</v>
      </c>
      <c r="D20" s="1297"/>
      <c r="E20" s="1298"/>
      <c r="F20" s="612"/>
      <c r="G20" s="613"/>
      <c r="H20" s="600"/>
    </row>
    <row r="21" spans="1:8" ht="25.5">
      <c r="A21" s="575" t="s">
        <v>113</v>
      </c>
      <c r="B21" s="615" t="s">
        <v>230</v>
      </c>
      <c r="C21" s="574">
        <v>6</v>
      </c>
      <c r="D21" s="1297"/>
      <c r="E21" s="1298"/>
      <c r="F21" s="612"/>
      <c r="G21" s="613"/>
      <c r="H21" s="600"/>
    </row>
    <row r="22" spans="1:8" ht="25.5">
      <c r="A22" s="575" t="s">
        <v>114</v>
      </c>
      <c r="B22" s="615" t="s">
        <v>231</v>
      </c>
      <c r="C22" s="577">
        <v>6</v>
      </c>
      <c r="D22" s="1297"/>
      <c r="E22" s="1298"/>
      <c r="F22" s="612"/>
      <c r="G22" s="613"/>
      <c r="H22" s="600"/>
    </row>
    <row r="23" spans="1:8">
      <c r="A23" s="1313"/>
      <c r="B23" s="1314"/>
      <c r="C23" s="1314"/>
      <c r="D23" s="1314"/>
      <c r="E23" s="1314"/>
      <c r="F23" s="1314"/>
      <c r="G23" s="1315"/>
      <c r="H23" s="608"/>
    </row>
    <row r="24" spans="1:8" ht="13.5" customHeight="1">
      <c r="A24" s="1316" t="s">
        <v>498</v>
      </c>
      <c r="B24" s="1317"/>
      <c r="C24" s="1317"/>
      <c r="D24" s="1317"/>
      <c r="E24" s="1317"/>
      <c r="F24" s="1317"/>
      <c r="G24" s="1318"/>
      <c r="H24" s="608"/>
    </row>
    <row r="25" spans="1:8">
      <c r="A25" s="572" t="s">
        <v>86</v>
      </c>
      <c r="B25" s="572" t="s">
        <v>8</v>
      </c>
      <c r="C25" s="572" t="s">
        <v>2</v>
      </c>
      <c r="D25" s="1311" t="s">
        <v>149</v>
      </c>
      <c r="E25" s="1312"/>
      <c r="F25" s="609"/>
      <c r="G25" s="610"/>
      <c r="H25" s="611"/>
    </row>
    <row r="26" spans="1:8">
      <c r="A26" s="572">
        <v>2</v>
      </c>
      <c r="B26" s="573" t="s">
        <v>243</v>
      </c>
      <c r="C26" s="586">
        <f>SUM(C27:C30)</f>
        <v>11.5</v>
      </c>
      <c r="D26" s="1309"/>
      <c r="E26" s="1310"/>
      <c r="F26" s="612"/>
      <c r="G26" s="613"/>
      <c r="H26" s="600"/>
    </row>
    <row r="27" spans="1:8">
      <c r="A27" s="574" t="s">
        <v>3</v>
      </c>
      <c r="B27" s="576" t="s">
        <v>4</v>
      </c>
      <c r="C27" s="578">
        <v>8.5</v>
      </c>
      <c r="D27" s="1309"/>
      <c r="E27" s="1310"/>
      <c r="F27" s="612"/>
      <c r="G27" s="613"/>
      <c r="H27" s="600"/>
    </row>
    <row r="28" spans="1:8">
      <c r="A28" s="575" t="s">
        <v>5</v>
      </c>
      <c r="B28" s="576" t="s">
        <v>144</v>
      </c>
      <c r="C28" s="578">
        <v>0</v>
      </c>
      <c r="D28" s="1309"/>
      <c r="E28" s="1310"/>
      <c r="F28" s="612"/>
      <c r="G28" s="613"/>
      <c r="H28" s="600"/>
    </row>
    <row r="29" spans="1:8">
      <c r="A29" s="574" t="s">
        <v>145</v>
      </c>
      <c r="B29" s="576" t="s">
        <v>146</v>
      </c>
      <c r="C29" s="578">
        <v>3</v>
      </c>
      <c r="D29" s="1309"/>
      <c r="E29" s="1310"/>
      <c r="F29" s="743"/>
      <c r="G29" s="613"/>
      <c r="H29" s="600"/>
    </row>
    <row r="30" spans="1:8">
      <c r="A30" s="574" t="s">
        <v>244</v>
      </c>
      <c r="B30" s="576" t="s">
        <v>245</v>
      </c>
      <c r="C30" s="578">
        <v>0</v>
      </c>
      <c r="D30" s="616"/>
      <c r="E30" s="743"/>
      <c r="F30" s="743"/>
      <c r="G30" s="613"/>
      <c r="H30" s="600"/>
    </row>
    <row r="31" spans="1:8">
      <c r="A31" s="572">
        <v>3</v>
      </c>
      <c r="B31" s="573" t="s">
        <v>14</v>
      </c>
      <c r="C31" s="586">
        <v>14</v>
      </c>
      <c r="D31" s="1309"/>
      <c r="E31" s="1310"/>
      <c r="F31" s="612"/>
      <c r="G31" s="613"/>
      <c r="H31" s="600"/>
    </row>
    <row r="32" spans="1:8">
      <c r="A32" s="574" t="s">
        <v>6</v>
      </c>
      <c r="B32" s="576" t="s">
        <v>7</v>
      </c>
      <c r="C32" s="578">
        <v>10</v>
      </c>
      <c r="D32" s="1309"/>
      <c r="E32" s="1310"/>
      <c r="F32" s="612"/>
      <c r="G32" s="613"/>
      <c r="H32" s="600"/>
    </row>
    <row r="33" spans="1:8">
      <c r="A33" s="575" t="s">
        <v>12</v>
      </c>
      <c r="B33" s="576" t="s">
        <v>15</v>
      </c>
      <c r="C33" s="578">
        <v>5</v>
      </c>
      <c r="D33" s="1309"/>
      <c r="E33" s="1310"/>
      <c r="F33" s="612"/>
      <c r="G33" s="613"/>
      <c r="H33" s="600"/>
    </row>
    <row r="34" spans="1:8">
      <c r="A34" s="575" t="s">
        <v>13</v>
      </c>
      <c r="B34" s="576" t="s">
        <v>148</v>
      </c>
      <c r="C34" s="578">
        <v>0</v>
      </c>
      <c r="D34" s="1309"/>
      <c r="E34" s="1310"/>
      <c r="F34" s="612"/>
      <c r="G34" s="613"/>
      <c r="H34" s="600"/>
    </row>
    <row r="35" spans="1:8">
      <c r="A35" s="572">
        <v>4</v>
      </c>
      <c r="B35" s="579" t="s">
        <v>17</v>
      </c>
      <c r="C35" s="578">
        <v>0</v>
      </c>
      <c r="D35" s="1309"/>
      <c r="E35" s="1310"/>
      <c r="F35" s="612"/>
      <c r="G35" s="613"/>
      <c r="H35" s="600"/>
    </row>
    <row r="36" spans="1:8">
      <c r="A36" s="575" t="s">
        <v>16</v>
      </c>
      <c r="B36" s="576" t="s">
        <v>84</v>
      </c>
      <c r="C36" s="578">
        <v>2</v>
      </c>
      <c r="D36" s="1309"/>
      <c r="E36" s="1310"/>
      <c r="F36" s="612"/>
      <c r="G36" s="613"/>
      <c r="H36" s="600"/>
    </row>
    <row r="37" spans="1:8" ht="25.5">
      <c r="A37" s="572">
        <v>5</v>
      </c>
      <c r="B37" s="618" t="s">
        <v>26</v>
      </c>
      <c r="C37" s="578">
        <v>5</v>
      </c>
      <c r="D37" s="1309"/>
      <c r="E37" s="1310"/>
      <c r="F37" s="612"/>
      <c r="G37" s="613"/>
      <c r="H37" s="600"/>
    </row>
    <row r="38" spans="1:8">
      <c r="A38" s="580" t="s">
        <v>147</v>
      </c>
      <c r="B38" s="579" t="s">
        <v>150</v>
      </c>
      <c r="C38" s="578">
        <v>0.16</v>
      </c>
      <c r="D38" s="1311"/>
      <c r="E38" s="1312"/>
      <c r="F38" s="609"/>
      <c r="G38" s="613"/>
      <c r="H38" s="600"/>
    </row>
    <row r="39" spans="1:8">
      <c r="A39" s="572">
        <v>6</v>
      </c>
      <c r="B39" s="573" t="s">
        <v>85</v>
      </c>
      <c r="C39" s="586">
        <f>C26+C31+C37</f>
        <v>30.5</v>
      </c>
      <c r="D39" s="1309"/>
      <c r="E39" s="1310"/>
      <c r="F39" s="612"/>
      <c r="G39" s="613"/>
      <c r="H39" s="600"/>
    </row>
    <row r="40" spans="1:8">
      <c r="A40" s="1313"/>
      <c r="B40" s="1314"/>
      <c r="C40" s="1314"/>
      <c r="D40" s="1314"/>
      <c r="E40" s="1314"/>
      <c r="F40" s="1314"/>
      <c r="G40" s="1315"/>
      <c r="H40" s="608"/>
    </row>
    <row r="41" spans="1:8" ht="15.75" customHeight="1">
      <c r="A41" s="1316" t="s">
        <v>361</v>
      </c>
      <c r="B41" s="1317"/>
      <c r="C41" s="1317"/>
      <c r="D41" s="1317"/>
      <c r="E41" s="1317"/>
      <c r="F41" s="1317"/>
      <c r="G41" s="1318"/>
      <c r="H41" s="619"/>
    </row>
    <row r="42" spans="1:8">
      <c r="A42" s="572" t="s">
        <v>86</v>
      </c>
      <c r="B42" s="572" t="s">
        <v>8</v>
      </c>
      <c r="C42" s="572" t="s">
        <v>9</v>
      </c>
      <c r="D42" s="1311" t="s">
        <v>149</v>
      </c>
      <c r="E42" s="1312"/>
      <c r="F42" s="609"/>
      <c r="G42" s="610"/>
      <c r="H42" s="611"/>
    </row>
    <row r="43" spans="1:8">
      <c r="A43" s="572"/>
      <c r="B43" s="620" t="s">
        <v>10</v>
      </c>
      <c r="C43" s="1309"/>
      <c r="D43" s="1319"/>
      <c r="E43" s="1310"/>
      <c r="F43" s="612"/>
      <c r="G43" s="613"/>
      <c r="H43" s="600"/>
    </row>
    <row r="44" spans="1:8">
      <c r="A44" s="572">
        <v>7</v>
      </c>
      <c r="B44" s="573" t="s">
        <v>246</v>
      </c>
      <c r="C44" s="591">
        <v>971605</v>
      </c>
      <c r="D44" s="1309"/>
      <c r="E44" s="1310"/>
      <c r="F44" s="612"/>
      <c r="G44" s="613"/>
      <c r="H44" s="600"/>
    </row>
    <row r="45" spans="1:8">
      <c r="A45" s="574" t="s">
        <v>11</v>
      </c>
      <c r="B45" s="576" t="s">
        <v>19</v>
      </c>
      <c r="C45" s="591">
        <v>672720</v>
      </c>
      <c r="D45" s="1309"/>
      <c r="E45" s="1310"/>
      <c r="F45" s="612"/>
      <c r="G45" s="613"/>
      <c r="H45" s="600"/>
    </row>
    <row r="46" spans="1:8">
      <c r="A46" s="575" t="s">
        <v>18</v>
      </c>
      <c r="B46" s="576" t="s">
        <v>151</v>
      </c>
      <c r="C46" s="591">
        <v>298885</v>
      </c>
      <c r="D46" s="1309"/>
      <c r="E46" s="1310"/>
      <c r="F46" s="612"/>
      <c r="G46" s="613"/>
      <c r="H46" s="600"/>
    </row>
    <row r="47" spans="1:8">
      <c r="A47" s="574" t="s">
        <v>247</v>
      </c>
      <c r="B47" s="576" t="s">
        <v>248</v>
      </c>
      <c r="C47" s="591">
        <v>0</v>
      </c>
      <c r="D47" s="612"/>
      <c r="E47" s="612"/>
      <c r="F47" s="612"/>
      <c r="G47" s="613"/>
      <c r="H47" s="600"/>
    </row>
    <row r="48" spans="1:8">
      <c r="A48" s="572">
        <v>8</v>
      </c>
      <c r="B48" s="573" t="s">
        <v>109</v>
      </c>
      <c r="C48" s="591">
        <v>639988</v>
      </c>
      <c r="D48" s="1309"/>
      <c r="E48" s="1310"/>
      <c r="F48" s="612"/>
      <c r="G48" s="613"/>
      <c r="H48" s="600"/>
    </row>
    <row r="49" spans="1:8">
      <c r="A49" s="581" t="s">
        <v>20</v>
      </c>
      <c r="B49" s="582" t="s">
        <v>23</v>
      </c>
      <c r="C49" s="591">
        <v>424186</v>
      </c>
      <c r="D49" s="1309"/>
      <c r="E49" s="1310"/>
      <c r="F49" s="612"/>
      <c r="G49" s="613"/>
      <c r="H49" s="600"/>
    </row>
    <row r="50" spans="1:8">
      <c r="A50" s="575" t="s">
        <v>21</v>
      </c>
      <c r="B50" s="576" t="s">
        <v>24</v>
      </c>
      <c r="C50" s="591">
        <v>215202</v>
      </c>
      <c r="D50" s="1309"/>
      <c r="E50" s="1310"/>
      <c r="F50" s="612"/>
      <c r="G50" s="613"/>
      <c r="H50" s="600"/>
    </row>
    <row r="51" spans="1:8">
      <c r="A51" s="575" t="s">
        <v>22</v>
      </c>
      <c r="B51" s="576" t="s">
        <v>25</v>
      </c>
      <c r="C51" s="591">
        <v>0</v>
      </c>
      <c r="D51" s="1309"/>
      <c r="E51" s="1310"/>
      <c r="F51" s="612"/>
      <c r="G51" s="613"/>
      <c r="H51" s="600"/>
    </row>
    <row r="52" spans="1:8" ht="25.5">
      <c r="A52" s="583">
        <v>9</v>
      </c>
      <c r="B52" s="584" t="s">
        <v>27</v>
      </c>
      <c r="C52" s="591">
        <v>81313</v>
      </c>
      <c r="D52" s="1309"/>
      <c r="E52" s="1310"/>
      <c r="F52" s="612"/>
      <c r="G52" s="613"/>
      <c r="H52" s="600"/>
    </row>
    <row r="53" spans="1:8">
      <c r="A53" s="583">
        <v>10</v>
      </c>
      <c r="B53" s="584" t="s">
        <v>249</v>
      </c>
      <c r="C53" s="591">
        <f>SUM(C44+C48+C52)</f>
        <v>1692906</v>
      </c>
      <c r="D53" s="616"/>
      <c r="E53" s="622"/>
      <c r="F53" s="622"/>
      <c r="G53" s="613"/>
      <c r="H53" s="600"/>
    </row>
    <row r="54" spans="1:8">
      <c r="A54" s="583"/>
      <c r="B54" s="584"/>
      <c r="C54" s="587"/>
      <c r="D54" s="1309"/>
      <c r="E54" s="1310"/>
      <c r="F54" s="622"/>
      <c r="G54" s="613"/>
      <c r="H54" s="600"/>
    </row>
    <row r="55" spans="1:8">
      <c r="A55" s="623"/>
      <c r="B55" s="620" t="s">
        <v>250</v>
      </c>
      <c r="C55" s="624"/>
      <c r="D55" s="1311"/>
      <c r="E55" s="1312"/>
      <c r="F55" s="612"/>
      <c r="G55" s="613"/>
      <c r="H55" s="600"/>
    </row>
    <row r="56" spans="1:8" ht="25.5">
      <c r="A56" s="625">
        <v>11</v>
      </c>
      <c r="B56" s="626" t="s">
        <v>251</v>
      </c>
      <c r="C56" s="627">
        <f>SUM(C57:C59)</f>
        <v>22329</v>
      </c>
      <c r="D56" s="1309"/>
      <c r="E56" s="1310"/>
      <c r="F56" s="612"/>
      <c r="G56" s="613"/>
      <c r="H56" s="600"/>
    </row>
    <row r="57" spans="1:8">
      <c r="A57" s="628" t="s">
        <v>30</v>
      </c>
      <c r="B57" s="629" t="s">
        <v>28</v>
      </c>
      <c r="C57" s="587">
        <v>22329</v>
      </c>
      <c r="D57" s="1309"/>
      <c r="E57" s="1310"/>
      <c r="F57" s="612"/>
      <c r="G57" s="613"/>
      <c r="H57" s="600"/>
    </row>
    <row r="58" spans="1:8">
      <c r="A58" s="628" t="s">
        <v>32</v>
      </c>
      <c r="B58" s="629" t="s">
        <v>152</v>
      </c>
      <c r="C58" s="587">
        <v>0</v>
      </c>
      <c r="D58" s="1309"/>
      <c r="E58" s="1310"/>
      <c r="F58" s="612"/>
      <c r="G58" s="613"/>
      <c r="H58" s="600"/>
    </row>
    <row r="59" spans="1:8">
      <c r="A59" s="628" t="s">
        <v>34</v>
      </c>
      <c r="B59" s="629" t="s">
        <v>29</v>
      </c>
      <c r="C59" s="587">
        <v>0</v>
      </c>
      <c r="D59" s="1309"/>
      <c r="E59" s="1310"/>
      <c r="F59" s="612"/>
      <c r="G59" s="613"/>
      <c r="H59" s="600"/>
    </row>
    <row r="60" spans="1:8" ht="38.25">
      <c r="A60" s="625">
        <v>12</v>
      </c>
      <c r="B60" s="626" t="s">
        <v>252</v>
      </c>
      <c r="C60" s="589">
        <v>461976</v>
      </c>
      <c r="D60" s="1309"/>
      <c r="E60" s="1310"/>
      <c r="F60" s="612"/>
      <c r="G60" s="613"/>
      <c r="H60" s="600"/>
    </row>
    <row r="61" spans="1:8">
      <c r="A61" s="628" t="s">
        <v>36</v>
      </c>
      <c r="B61" s="629" t="s">
        <v>31</v>
      </c>
      <c r="C61" s="587">
        <v>209575</v>
      </c>
      <c r="D61" s="1309"/>
      <c r="E61" s="1310"/>
      <c r="F61" s="612"/>
      <c r="G61" s="613"/>
      <c r="H61" s="600"/>
    </row>
    <row r="62" spans="1:8">
      <c r="A62" s="628" t="s">
        <v>38</v>
      </c>
      <c r="B62" s="629" t="s">
        <v>206</v>
      </c>
      <c r="C62" s="587">
        <v>252461</v>
      </c>
      <c r="D62" s="1309"/>
      <c r="E62" s="1310"/>
      <c r="F62" s="612"/>
      <c r="G62" s="613"/>
      <c r="H62" s="600"/>
    </row>
    <row r="63" spans="1:8">
      <c r="A63" s="628" t="s">
        <v>253</v>
      </c>
      <c r="B63" s="629" t="s">
        <v>33</v>
      </c>
      <c r="C63" s="587">
        <v>252461</v>
      </c>
      <c r="D63" s="1309"/>
      <c r="E63" s="1310"/>
      <c r="F63" s="612"/>
      <c r="G63" s="613"/>
      <c r="H63" s="600"/>
    </row>
    <row r="64" spans="1:8">
      <c r="A64" s="628" t="s">
        <v>39</v>
      </c>
      <c r="B64" s="629" t="s">
        <v>35</v>
      </c>
      <c r="C64" s="587">
        <v>0</v>
      </c>
      <c r="D64" s="1309"/>
      <c r="E64" s="1310"/>
      <c r="F64" s="612"/>
      <c r="G64" s="613"/>
      <c r="H64" s="600"/>
    </row>
    <row r="65" spans="1:8">
      <c r="A65" s="630" t="s">
        <v>254</v>
      </c>
      <c r="B65" s="629" t="s">
        <v>153</v>
      </c>
      <c r="C65" s="587">
        <v>0</v>
      </c>
      <c r="D65" s="1309"/>
      <c r="E65" s="1310"/>
      <c r="F65" s="612"/>
      <c r="G65" s="613"/>
      <c r="H65" s="600"/>
    </row>
    <row r="66" spans="1:8">
      <c r="A66" s="630" t="s">
        <v>255</v>
      </c>
      <c r="B66" s="631" t="s">
        <v>216</v>
      </c>
      <c r="C66" s="587">
        <v>0</v>
      </c>
      <c r="D66" s="1309"/>
      <c r="E66" s="1310"/>
      <c r="F66" s="612"/>
      <c r="G66" s="613"/>
      <c r="H66" s="600"/>
    </row>
    <row r="67" spans="1:8">
      <c r="A67" s="625">
        <v>13</v>
      </c>
      <c r="B67" s="632" t="s">
        <v>256</v>
      </c>
      <c r="C67" s="589">
        <f>SUM(C68:C69)</f>
        <v>0</v>
      </c>
      <c r="D67" s="1309" t="s">
        <v>740</v>
      </c>
      <c r="E67" s="1310"/>
      <c r="F67" s="612"/>
      <c r="G67" s="613"/>
      <c r="H67" s="600"/>
    </row>
    <row r="68" spans="1:8">
      <c r="A68" s="628" t="s">
        <v>156</v>
      </c>
      <c r="B68" s="631" t="s">
        <v>40</v>
      </c>
      <c r="C68" s="587"/>
      <c r="D68" s="1309"/>
      <c r="E68" s="1310"/>
      <c r="F68" s="612"/>
      <c r="G68" s="613"/>
      <c r="H68" s="600"/>
    </row>
    <row r="69" spans="1:8">
      <c r="A69" s="628" t="s">
        <v>157</v>
      </c>
      <c r="B69" s="631" t="s">
        <v>41</v>
      </c>
      <c r="C69" s="587"/>
      <c r="D69" s="1309"/>
      <c r="E69" s="1310"/>
      <c r="F69" s="612"/>
      <c r="G69" s="613"/>
      <c r="H69" s="600"/>
    </row>
    <row r="70" spans="1:8">
      <c r="A70" s="623">
        <v>14</v>
      </c>
      <c r="B70" s="610" t="s">
        <v>257</v>
      </c>
      <c r="C70" s="589">
        <f>SUM(C71:C75)</f>
        <v>0</v>
      </c>
      <c r="D70" s="1309"/>
      <c r="E70" s="1310"/>
      <c r="F70" s="612"/>
      <c r="G70" s="613"/>
      <c r="H70" s="600"/>
    </row>
    <row r="71" spans="1:8">
      <c r="A71" s="633" t="s">
        <v>42</v>
      </c>
      <c r="B71" s="634" t="s">
        <v>155</v>
      </c>
      <c r="C71" s="587">
        <v>0</v>
      </c>
      <c r="D71" s="1311"/>
      <c r="E71" s="1312"/>
      <c r="F71" s="609"/>
      <c r="G71" s="613"/>
      <c r="H71" s="600"/>
    </row>
    <row r="72" spans="1:8">
      <c r="A72" s="633" t="s">
        <v>43</v>
      </c>
      <c r="B72" s="635" t="s">
        <v>258</v>
      </c>
      <c r="C72" s="587">
        <v>0</v>
      </c>
      <c r="D72" s="612"/>
      <c r="E72" s="609"/>
      <c r="F72" s="609"/>
      <c r="G72" s="613"/>
      <c r="H72" s="600"/>
    </row>
    <row r="73" spans="1:8">
      <c r="A73" s="633" t="s">
        <v>45</v>
      </c>
      <c r="B73" s="636" t="s">
        <v>44</v>
      </c>
      <c r="C73" s="587">
        <v>0</v>
      </c>
      <c r="D73" s="1309"/>
      <c r="E73" s="1310"/>
      <c r="F73" s="612"/>
      <c r="G73" s="613"/>
      <c r="H73" s="600"/>
    </row>
    <row r="74" spans="1:8">
      <c r="A74" s="633" t="s">
        <v>154</v>
      </c>
      <c r="B74" s="636" t="s">
        <v>46</v>
      </c>
      <c r="C74" s="587">
        <v>0</v>
      </c>
      <c r="D74" s="1309"/>
      <c r="E74" s="1310"/>
      <c r="F74" s="612"/>
      <c r="G74" s="613"/>
      <c r="H74" s="600"/>
    </row>
    <row r="75" spans="1:8">
      <c r="A75" s="637" t="s">
        <v>259</v>
      </c>
      <c r="B75" s="636" t="s">
        <v>104</v>
      </c>
      <c r="C75" s="587"/>
      <c r="D75" s="1309"/>
      <c r="E75" s="1310"/>
      <c r="F75" s="612"/>
      <c r="G75" s="613"/>
      <c r="H75" s="600"/>
    </row>
    <row r="76" spans="1:8">
      <c r="A76" s="638">
        <v>15</v>
      </c>
      <c r="B76" s="610" t="s">
        <v>260</v>
      </c>
      <c r="C76" s="590">
        <f>C56+C60+C67+C70</f>
        <v>484305</v>
      </c>
      <c r="D76" s="612"/>
      <c r="E76" s="612"/>
      <c r="F76" s="612"/>
      <c r="G76" s="613"/>
      <c r="H76" s="600"/>
    </row>
    <row r="77" spans="1:8">
      <c r="A77" s="637"/>
      <c r="B77" s="610"/>
      <c r="C77" s="590"/>
      <c r="D77" s="612"/>
      <c r="E77" s="612"/>
      <c r="F77" s="612"/>
      <c r="G77" s="613"/>
      <c r="H77" s="600"/>
    </row>
    <row r="78" spans="1:8">
      <c r="A78" s="637"/>
      <c r="B78" s="639" t="s">
        <v>261</v>
      </c>
      <c r="C78" s="587"/>
      <c r="D78" s="1309"/>
      <c r="E78" s="1310"/>
      <c r="F78" s="612"/>
      <c r="G78" s="613"/>
      <c r="H78" s="600"/>
    </row>
    <row r="79" spans="1:8">
      <c r="A79" s="637"/>
      <c r="C79" s="587"/>
      <c r="D79" s="612"/>
      <c r="E79" s="612"/>
      <c r="F79" s="612"/>
      <c r="G79" s="613"/>
      <c r="H79" s="600"/>
    </row>
    <row r="80" spans="1:8">
      <c r="A80" s="623">
        <v>16</v>
      </c>
      <c r="B80" s="640" t="s">
        <v>262</v>
      </c>
      <c r="C80" s="591">
        <f>SUM(C81:C85)</f>
        <v>1186</v>
      </c>
      <c r="D80" s="612"/>
      <c r="E80" s="612"/>
      <c r="F80" s="612"/>
      <c r="G80" s="613"/>
      <c r="H80" s="600"/>
    </row>
    <row r="81" spans="1:8">
      <c r="A81" s="637" t="s">
        <v>263</v>
      </c>
      <c r="B81" s="613" t="s">
        <v>264</v>
      </c>
      <c r="C81" s="587"/>
      <c r="D81" s="613"/>
      <c r="E81" s="612"/>
      <c r="F81" s="612"/>
      <c r="H81" s="600"/>
    </row>
    <row r="82" spans="1:8" ht="25.5">
      <c r="A82" s="637" t="s">
        <v>192</v>
      </c>
      <c r="B82" s="641" t="s">
        <v>207</v>
      </c>
      <c r="C82" s="587">
        <v>941</v>
      </c>
      <c r="D82" s="612"/>
      <c r="E82" s="612"/>
      <c r="F82" s="612"/>
      <c r="G82" s="613"/>
      <c r="H82" s="600"/>
    </row>
    <row r="83" spans="1:8">
      <c r="A83" s="637" t="s">
        <v>193</v>
      </c>
      <c r="B83" s="613" t="s">
        <v>158</v>
      </c>
      <c r="C83" s="199"/>
      <c r="D83" s="612"/>
      <c r="E83" s="612"/>
      <c r="F83" s="612"/>
      <c r="G83" s="613"/>
      <c r="H83" s="600"/>
    </row>
    <row r="84" spans="1:8">
      <c r="A84" s="637" t="s">
        <v>265</v>
      </c>
      <c r="B84" s="613" t="s">
        <v>159</v>
      </c>
      <c r="C84" s="587">
        <v>245</v>
      </c>
      <c r="D84" s="612"/>
      <c r="E84" s="612"/>
      <c r="F84" s="612"/>
      <c r="G84" s="613"/>
      <c r="H84" s="600"/>
    </row>
    <row r="85" spans="1:8">
      <c r="A85" s="637" t="s">
        <v>266</v>
      </c>
      <c r="B85" s="613" t="s">
        <v>160</v>
      </c>
      <c r="C85" s="587">
        <v>0</v>
      </c>
      <c r="D85" s="612"/>
      <c r="E85" s="612"/>
      <c r="F85" s="612"/>
      <c r="G85" s="613"/>
      <c r="H85" s="600"/>
    </row>
    <row r="86" spans="1:8">
      <c r="A86" s="638">
        <v>17</v>
      </c>
      <c r="B86" s="639" t="s">
        <v>191</v>
      </c>
      <c r="C86" s="591">
        <v>0</v>
      </c>
      <c r="D86" s="1309"/>
      <c r="E86" s="1310"/>
      <c r="F86" s="612"/>
      <c r="G86" s="610"/>
      <c r="H86" s="611"/>
    </row>
    <row r="87" spans="1:8">
      <c r="A87" s="638">
        <v>18</v>
      </c>
      <c r="B87" s="610" t="s">
        <v>267</v>
      </c>
      <c r="C87" s="589">
        <f>SUM(C88:C90)</f>
        <v>42425</v>
      </c>
      <c r="D87" s="1309"/>
      <c r="E87" s="1310"/>
      <c r="F87" s="612"/>
      <c r="G87" s="613"/>
      <c r="H87" s="600"/>
    </row>
    <row r="88" spans="1:8">
      <c r="A88" s="633" t="s">
        <v>268</v>
      </c>
      <c r="B88" s="642" t="s">
        <v>47</v>
      </c>
      <c r="C88" s="587">
        <v>8933</v>
      </c>
      <c r="D88" s="1309"/>
      <c r="E88" s="1310"/>
      <c r="F88" s="612"/>
      <c r="G88" s="613"/>
      <c r="H88" s="600"/>
    </row>
    <row r="89" spans="1:8">
      <c r="A89" s="633" t="s">
        <v>269</v>
      </c>
      <c r="B89" s="642" t="s">
        <v>48</v>
      </c>
      <c r="C89" s="587">
        <v>31592</v>
      </c>
      <c r="D89" s="1309"/>
      <c r="E89" s="1310"/>
      <c r="F89" s="612"/>
      <c r="G89" s="613"/>
      <c r="H89" s="600"/>
    </row>
    <row r="90" spans="1:8">
      <c r="A90" s="633" t="s">
        <v>270</v>
      </c>
      <c r="B90" s="642" t="s">
        <v>105</v>
      </c>
      <c r="C90" s="624">
        <v>1900</v>
      </c>
      <c r="D90" s="1309"/>
      <c r="E90" s="1310"/>
      <c r="F90" s="612"/>
      <c r="G90" s="613"/>
      <c r="H90" s="600"/>
    </row>
    <row r="91" spans="1:8">
      <c r="A91" s="638">
        <v>19</v>
      </c>
      <c r="B91" s="613" t="s">
        <v>205</v>
      </c>
      <c r="C91" s="624">
        <v>0</v>
      </c>
      <c r="D91" s="1309"/>
      <c r="E91" s="1310"/>
      <c r="F91" s="612"/>
      <c r="G91" s="613"/>
      <c r="H91" s="600"/>
    </row>
    <row r="92" spans="1:8" ht="38.25">
      <c r="A92" s="638">
        <v>20</v>
      </c>
      <c r="B92" s="641" t="s">
        <v>106</v>
      </c>
      <c r="C92" s="624">
        <v>1279</v>
      </c>
      <c r="F92" s="612"/>
      <c r="G92" s="613"/>
      <c r="H92" s="600"/>
    </row>
    <row r="93" spans="1:8">
      <c r="A93" s="638">
        <v>21</v>
      </c>
      <c r="B93" s="613" t="s">
        <v>103</v>
      </c>
      <c r="C93" s="624"/>
      <c r="D93" s="1309"/>
      <c r="E93" s="1310"/>
      <c r="F93" s="612"/>
      <c r="G93" s="613"/>
      <c r="H93" s="600"/>
    </row>
    <row r="94" spans="1:8" ht="25.5">
      <c r="A94" s="638">
        <v>22</v>
      </c>
      <c r="B94" s="641" t="s">
        <v>107</v>
      </c>
      <c r="C94" s="643">
        <v>122168</v>
      </c>
      <c r="D94" s="1309" t="s">
        <v>741</v>
      </c>
      <c r="E94" s="1310"/>
      <c r="F94" s="644"/>
      <c r="G94" s="645"/>
      <c r="H94" s="608"/>
    </row>
    <row r="95" spans="1:8" ht="25.5">
      <c r="A95" s="638">
        <v>23</v>
      </c>
      <c r="B95" s="641" t="s">
        <v>271</v>
      </c>
      <c r="C95" s="646">
        <f>SUM(C53,C76,C80,C86,C87,C91,C92,C93,C94)</f>
        <v>2344269</v>
      </c>
      <c r="D95" s="1309"/>
      <c r="E95" s="1310"/>
      <c r="F95" s="612"/>
      <c r="G95" s="613"/>
      <c r="H95" s="600"/>
    </row>
    <row r="96" spans="1:8">
      <c r="A96" s="637" t="s">
        <v>108</v>
      </c>
      <c r="B96" s="642" t="s">
        <v>49</v>
      </c>
      <c r="C96" s="624"/>
      <c r="D96" s="1309"/>
      <c r="E96" s="1310"/>
      <c r="F96" s="612"/>
      <c r="G96" s="613"/>
      <c r="H96" s="600"/>
    </row>
    <row r="97" spans="1:8" ht="15">
      <c r="A97" s="638">
        <v>24</v>
      </c>
      <c r="B97" s="613" t="s">
        <v>272</v>
      </c>
      <c r="C97" s="647">
        <f>SUM(C95,C96)</f>
        <v>2344269</v>
      </c>
      <c r="D97" s="1309"/>
      <c r="E97" s="1310"/>
      <c r="F97" s="612"/>
      <c r="G97" s="613"/>
      <c r="H97" s="600"/>
    </row>
    <row r="99" spans="1:8" ht="15.75" customHeight="1">
      <c r="A99" s="1199" t="s">
        <v>362</v>
      </c>
      <c r="B99" s="1299"/>
      <c r="C99" s="1299"/>
      <c r="D99" s="1299"/>
      <c r="E99" s="1299"/>
      <c r="F99" s="1299"/>
      <c r="G99" s="1300"/>
      <c r="H99" s="120"/>
    </row>
    <row r="100" spans="1:8">
      <c r="A100" s="30" t="s">
        <v>86</v>
      </c>
      <c r="B100" s="30" t="s">
        <v>8</v>
      </c>
      <c r="C100" s="32" t="s">
        <v>50</v>
      </c>
      <c r="D100" s="32" t="s">
        <v>51</v>
      </c>
      <c r="E100" s="32" t="s">
        <v>52</v>
      </c>
      <c r="F100" s="32"/>
      <c r="G100" s="121" t="s">
        <v>149</v>
      </c>
      <c r="H100" s="122"/>
    </row>
    <row r="101" spans="1:8" ht="12.75" customHeight="1">
      <c r="A101" s="1206"/>
      <c r="B101" s="1301" t="s">
        <v>273</v>
      </c>
      <c r="C101" s="1303"/>
      <c r="D101" s="1304"/>
      <c r="E101" s="1305"/>
      <c r="F101" s="123"/>
      <c r="G101" s="1211"/>
      <c r="H101" s="124"/>
    </row>
    <row r="102" spans="1:8" ht="23.25" customHeight="1">
      <c r="A102" s="1207"/>
      <c r="B102" s="1302"/>
      <c r="C102" s="1306"/>
      <c r="D102" s="1307"/>
      <c r="E102" s="1308"/>
      <c r="F102" s="125"/>
      <c r="G102" s="1212"/>
      <c r="H102" s="124"/>
    </row>
    <row r="103" spans="1:8">
      <c r="A103" s="30">
        <v>25</v>
      </c>
      <c r="B103" s="6" t="s">
        <v>274</v>
      </c>
      <c r="C103" s="51">
        <v>5810</v>
      </c>
      <c r="D103" s="51">
        <v>929</v>
      </c>
      <c r="E103" s="34">
        <v>447774</v>
      </c>
      <c r="F103" s="34"/>
      <c r="G103" s="10"/>
      <c r="H103" s="3"/>
    </row>
    <row r="104" spans="1:8">
      <c r="A104" s="25" t="s">
        <v>91</v>
      </c>
      <c r="B104" s="13" t="s">
        <v>53</v>
      </c>
      <c r="C104" s="51">
        <v>3811</v>
      </c>
      <c r="D104" s="51">
        <v>929</v>
      </c>
      <c r="E104" s="34" t="s">
        <v>400</v>
      </c>
      <c r="F104" s="34"/>
      <c r="G104" s="10"/>
      <c r="H104" s="3"/>
    </row>
    <row r="105" spans="1:8">
      <c r="A105" s="25" t="s">
        <v>194</v>
      </c>
      <c r="B105" s="35" t="s">
        <v>54</v>
      </c>
      <c r="C105" s="34">
        <v>3811</v>
      </c>
      <c r="D105" s="34"/>
      <c r="E105" s="34" t="s">
        <v>400</v>
      </c>
      <c r="F105" s="34"/>
      <c r="G105" s="10"/>
      <c r="H105" s="3"/>
    </row>
    <row r="106" spans="1:8">
      <c r="A106" s="25" t="s">
        <v>195</v>
      </c>
      <c r="B106" s="35" t="s">
        <v>55</v>
      </c>
      <c r="C106" s="34"/>
      <c r="D106" s="25"/>
      <c r="E106" s="34" t="s">
        <v>400</v>
      </c>
      <c r="F106" s="34"/>
      <c r="G106" s="10"/>
      <c r="H106" s="3"/>
    </row>
    <row r="107" spans="1:8">
      <c r="A107" s="25" t="s">
        <v>93</v>
      </c>
      <c r="B107" s="13" t="s">
        <v>56</v>
      </c>
      <c r="C107" s="34">
        <v>1984</v>
      </c>
      <c r="D107" s="34"/>
      <c r="E107" s="34" t="s">
        <v>400</v>
      </c>
      <c r="F107" s="34"/>
      <c r="G107" s="10"/>
      <c r="H107" s="3"/>
    </row>
    <row r="108" spans="1:8">
      <c r="A108" s="25" t="s">
        <v>275</v>
      </c>
      <c r="B108" s="13" t="s">
        <v>57</v>
      </c>
      <c r="C108" s="34">
        <v>15</v>
      </c>
      <c r="D108" s="34"/>
      <c r="E108" s="34" t="s">
        <v>400</v>
      </c>
      <c r="F108" s="34"/>
      <c r="G108" s="10"/>
      <c r="H108" s="3"/>
    </row>
    <row r="109" spans="1:8">
      <c r="A109" s="25" t="s">
        <v>276</v>
      </c>
      <c r="B109" s="13" t="s">
        <v>58</v>
      </c>
      <c r="C109" s="34" t="s">
        <v>400</v>
      </c>
      <c r="D109" s="34"/>
      <c r="E109" s="34" t="s">
        <v>400</v>
      </c>
      <c r="F109" s="34"/>
      <c r="G109" s="10"/>
      <c r="H109" s="3"/>
    </row>
    <row r="110" spans="1:8">
      <c r="A110" s="27" t="s">
        <v>277</v>
      </c>
      <c r="B110" s="13" t="s">
        <v>139</v>
      </c>
      <c r="C110" s="51" t="s">
        <v>400</v>
      </c>
      <c r="D110" s="51"/>
      <c r="E110" s="34" t="s">
        <v>400</v>
      </c>
      <c r="F110" s="34"/>
      <c r="G110" s="10"/>
      <c r="H110" s="3"/>
    </row>
    <row r="111" spans="1:8">
      <c r="A111" s="30">
        <v>26</v>
      </c>
      <c r="B111" s="18" t="s">
        <v>278</v>
      </c>
      <c r="C111" s="34">
        <v>12744</v>
      </c>
      <c r="D111" s="34">
        <f>D112+D113</f>
        <v>0</v>
      </c>
      <c r="E111" s="34">
        <f>E112+E113</f>
        <v>0</v>
      </c>
      <c r="F111" s="34"/>
      <c r="G111" s="10"/>
      <c r="H111" s="3"/>
    </row>
    <row r="112" spans="1:8">
      <c r="A112" s="25" t="s">
        <v>92</v>
      </c>
      <c r="B112" s="13" t="s">
        <v>59</v>
      </c>
      <c r="C112" s="34" t="s">
        <v>400</v>
      </c>
      <c r="D112" s="34"/>
      <c r="E112" s="34"/>
      <c r="F112" s="34"/>
      <c r="G112" s="10"/>
      <c r="H112" s="3"/>
    </row>
    <row r="113" spans="1:8">
      <c r="A113" s="27" t="s">
        <v>94</v>
      </c>
      <c r="B113" s="13" t="s">
        <v>164</v>
      </c>
      <c r="C113" s="34" t="s">
        <v>400</v>
      </c>
      <c r="D113" s="34"/>
      <c r="E113" s="34"/>
      <c r="F113" s="34"/>
      <c r="G113" s="10"/>
      <c r="H113" s="3"/>
    </row>
    <row r="114" spans="1:8">
      <c r="A114" s="25"/>
      <c r="B114" s="13"/>
      <c r="C114" s="34"/>
      <c r="D114" s="34"/>
      <c r="E114" s="34"/>
      <c r="F114" s="34"/>
      <c r="G114" s="10"/>
      <c r="H114" s="3"/>
    </row>
    <row r="115" spans="1:8" ht="38.25">
      <c r="A115" s="36">
        <v>27</v>
      </c>
      <c r="B115" s="33" t="s">
        <v>279</v>
      </c>
      <c r="C115" s="51">
        <v>26180</v>
      </c>
      <c r="D115" s="51">
        <f>SUM(D116+D119)</f>
        <v>0</v>
      </c>
      <c r="E115" s="34">
        <v>26180</v>
      </c>
      <c r="F115" s="34"/>
      <c r="G115" s="10"/>
      <c r="H115" s="3"/>
    </row>
    <row r="116" spans="1:8" ht="25.5">
      <c r="A116" s="30" t="s">
        <v>196</v>
      </c>
      <c r="B116" s="126" t="s">
        <v>280</v>
      </c>
      <c r="C116" s="52">
        <v>4038</v>
      </c>
      <c r="D116" s="52">
        <f>SUM(D117:D118)</f>
        <v>0</v>
      </c>
      <c r="E116" s="34">
        <v>4038</v>
      </c>
      <c r="F116" s="25"/>
      <c r="G116" s="10"/>
      <c r="H116" s="3"/>
    </row>
    <row r="117" spans="1:8">
      <c r="A117" s="25" t="s">
        <v>281</v>
      </c>
      <c r="B117" s="35" t="s">
        <v>124</v>
      </c>
      <c r="C117" s="34">
        <v>673</v>
      </c>
      <c r="D117" s="34"/>
      <c r="E117" s="34">
        <v>673</v>
      </c>
      <c r="F117" s="25"/>
      <c r="G117" s="10"/>
      <c r="H117" s="3"/>
    </row>
    <row r="118" spans="1:8">
      <c r="A118" s="25" t="s">
        <v>282</v>
      </c>
      <c r="B118" s="35" t="s">
        <v>125</v>
      </c>
      <c r="C118" s="34">
        <v>3365</v>
      </c>
      <c r="D118" s="34"/>
      <c r="E118" s="25">
        <v>3365</v>
      </c>
      <c r="F118" s="25"/>
      <c r="G118" s="10"/>
      <c r="H118" s="3"/>
    </row>
    <row r="119" spans="1:8" ht="25.5">
      <c r="A119" s="30" t="s">
        <v>283</v>
      </c>
      <c r="B119" s="126" t="s">
        <v>284</v>
      </c>
      <c r="C119" s="52">
        <v>22142</v>
      </c>
      <c r="D119" s="52">
        <f>SUM(D120:D122)</f>
        <v>0</v>
      </c>
      <c r="E119" s="52">
        <v>22142</v>
      </c>
      <c r="F119" s="25"/>
      <c r="G119" s="10"/>
      <c r="H119" s="3"/>
    </row>
    <row r="120" spans="1:8">
      <c r="A120" s="25" t="s">
        <v>285</v>
      </c>
      <c r="B120" s="35" t="s">
        <v>126</v>
      </c>
      <c r="C120" s="34">
        <v>50</v>
      </c>
      <c r="D120" s="34"/>
      <c r="E120" s="25">
        <v>50</v>
      </c>
      <c r="F120" s="25"/>
      <c r="G120" s="10"/>
      <c r="H120" s="3"/>
    </row>
    <row r="121" spans="1:8">
      <c r="A121" s="27" t="s">
        <v>286</v>
      </c>
      <c r="B121" s="35" t="s">
        <v>287</v>
      </c>
      <c r="C121" s="34">
        <v>5105</v>
      </c>
      <c r="D121" s="34"/>
      <c r="E121" s="25">
        <v>5105</v>
      </c>
      <c r="F121" s="25"/>
      <c r="G121" s="10"/>
      <c r="H121" s="3"/>
    </row>
    <row r="122" spans="1:8">
      <c r="A122" s="25" t="s">
        <v>288</v>
      </c>
      <c r="B122" s="35" t="s">
        <v>218</v>
      </c>
      <c r="C122" s="34" t="s">
        <v>400</v>
      </c>
      <c r="D122" s="34" t="s">
        <v>400</v>
      </c>
      <c r="E122" s="34" t="s">
        <v>400</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0</v>
      </c>
      <c r="D125" s="52">
        <f>SUM(D126:D127)</f>
        <v>0</v>
      </c>
      <c r="E125" s="52">
        <f>SUM(E126:E127)</f>
        <v>0</v>
      </c>
      <c r="F125" s="25"/>
      <c r="G125" s="10"/>
      <c r="H125" s="3"/>
    </row>
    <row r="126" spans="1:8">
      <c r="A126" s="25" t="s">
        <v>127</v>
      </c>
      <c r="B126" s="24" t="s">
        <v>40</v>
      </c>
      <c r="C126" s="25">
        <v>0</v>
      </c>
      <c r="D126" s="25">
        <v>0</v>
      </c>
      <c r="E126" s="34">
        <v>0</v>
      </c>
      <c r="F126" s="25"/>
      <c r="G126" s="10"/>
      <c r="H126" s="3"/>
    </row>
    <row r="127" spans="1:8">
      <c r="A127" s="25" t="s">
        <v>129</v>
      </c>
      <c r="B127" s="24" t="s">
        <v>41</v>
      </c>
      <c r="C127" s="25">
        <v>0</v>
      </c>
      <c r="D127" s="25">
        <v>0</v>
      </c>
      <c r="E127" s="34">
        <v>0</v>
      </c>
      <c r="F127" s="25"/>
      <c r="G127" s="10"/>
      <c r="H127" s="3"/>
    </row>
    <row r="128" spans="1:8">
      <c r="A128" s="25"/>
      <c r="C128" s="25"/>
      <c r="D128" s="25"/>
      <c r="E128" s="25"/>
      <c r="F128" s="25"/>
      <c r="G128" s="10"/>
      <c r="H128" s="3"/>
    </row>
    <row r="129" spans="1:10">
      <c r="A129" s="30">
        <v>29</v>
      </c>
      <c r="B129" s="6" t="s">
        <v>290</v>
      </c>
      <c r="C129" s="25" t="s">
        <v>400</v>
      </c>
      <c r="D129" s="25"/>
      <c r="E129" s="25"/>
      <c r="F129" s="25"/>
      <c r="G129" s="10"/>
      <c r="H129" s="3"/>
    </row>
    <row r="130" spans="1:10">
      <c r="A130" s="30" t="s">
        <v>165</v>
      </c>
      <c r="B130" s="6" t="s">
        <v>37</v>
      </c>
      <c r="C130" s="25"/>
      <c r="D130" s="25"/>
      <c r="E130" s="25"/>
      <c r="F130" s="25"/>
      <c r="G130" s="10"/>
      <c r="H130" s="3"/>
    </row>
    <row r="131" spans="1:10">
      <c r="A131" s="30" t="s">
        <v>166</v>
      </c>
      <c r="B131" s="6" t="s">
        <v>79</v>
      </c>
      <c r="C131" s="25"/>
      <c r="D131" s="25"/>
      <c r="E131" s="34"/>
      <c r="F131" s="25"/>
      <c r="G131" s="10"/>
      <c r="H131" s="3"/>
    </row>
    <row r="132" spans="1:10">
      <c r="A132" s="30" t="s">
        <v>291</v>
      </c>
      <c r="B132" s="29" t="s">
        <v>222</v>
      </c>
      <c r="C132" s="30"/>
      <c r="D132" s="30"/>
      <c r="E132" s="30"/>
      <c r="F132" s="30"/>
      <c r="G132" s="6"/>
      <c r="H132" s="122"/>
    </row>
    <row r="133" spans="1:10">
      <c r="A133" s="30" t="s">
        <v>292</v>
      </c>
      <c r="B133" s="29" t="s">
        <v>293</v>
      </c>
      <c r="C133" s="30">
        <f>C134+C135</f>
        <v>0</v>
      </c>
      <c r="D133" s="30">
        <f>D134+D135</f>
        <v>0</v>
      </c>
      <c r="E133" s="30">
        <f>E134+E135</f>
        <v>0</v>
      </c>
      <c r="F133" s="30"/>
      <c r="G133" s="6"/>
      <c r="H133" s="122"/>
    </row>
    <row r="134" spans="1:10">
      <c r="A134" s="30" t="s">
        <v>294</v>
      </c>
      <c r="B134" s="29" t="s">
        <v>223</v>
      </c>
      <c r="C134" s="30"/>
      <c r="D134" s="25"/>
      <c r="E134" s="25"/>
      <c r="F134" s="25"/>
      <c r="G134" s="10"/>
      <c r="H134" s="122"/>
      <c r="J134" s="63"/>
    </row>
    <row r="135" spans="1:10">
      <c r="A135" s="30" t="s">
        <v>295</v>
      </c>
      <c r="B135" s="37" t="s">
        <v>224</v>
      </c>
      <c r="C135" s="25"/>
      <c r="D135" s="25"/>
      <c r="E135" s="34"/>
      <c r="F135" s="25"/>
      <c r="G135" s="10"/>
      <c r="H135" s="122"/>
    </row>
    <row r="136" spans="1:10">
      <c r="A136" s="30" t="s">
        <v>296</v>
      </c>
      <c r="B136" s="37" t="s">
        <v>225</v>
      </c>
      <c r="C136" s="30"/>
      <c r="D136" s="25"/>
      <c r="E136" s="25"/>
      <c r="F136" s="25"/>
      <c r="G136" s="10"/>
      <c r="H136" s="122"/>
    </row>
    <row r="137" spans="1:10">
      <c r="A137" s="25"/>
      <c r="B137" s="6" t="s">
        <v>297</v>
      </c>
      <c r="C137" s="25"/>
      <c r="D137" s="25"/>
      <c r="E137" s="25"/>
      <c r="F137" s="25"/>
      <c r="G137" s="10"/>
      <c r="H137" s="3"/>
    </row>
    <row r="138" spans="1:10">
      <c r="A138" s="38" t="s">
        <v>298</v>
      </c>
      <c r="B138" s="37" t="s">
        <v>197</v>
      </c>
      <c r="C138" s="34"/>
      <c r="D138" s="34"/>
      <c r="E138" s="30"/>
      <c r="F138" s="30"/>
      <c r="G138" s="6"/>
      <c r="H138" s="122"/>
    </row>
    <row r="139" spans="1:10">
      <c r="A139" s="38" t="s">
        <v>299</v>
      </c>
      <c r="B139" s="37" t="s">
        <v>198</v>
      </c>
      <c r="C139" s="34"/>
      <c r="D139" s="34"/>
      <c r="E139" s="30"/>
      <c r="F139" s="30"/>
      <c r="G139" s="6"/>
      <c r="H139" s="122"/>
    </row>
    <row r="140" spans="1:10">
      <c r="A140" s="38" t="s">
        <v>300</v>
      </c>
      <c r="B140" s="37" t="s">
        <v>199</v>
      </c>
      <c r="C140" s="34"/>
      <c r="D140" s="34"/>
      <c r="E140" s="30"/>
      <c r="F140" s="30"/>
      <c r="G140" s="6"/>
      <c r="H140" s="122"/>
    </row>
    <row r="141" spans="1:10">
      <c r="A141" s="38" t="s">
        <v>301</v>
      </c>
      <c r="B141" s="37" t="s">
        <v>200</v>
      </c>
      <c r="C141" s="32">
        <v>3000000</v>
      </c>
      <c r="D141" s="30"/>
      <c r="E141" s="30"/>
      <c r="F141" s="30"/>
      <c r="G141" s="6"/>
      <c r="H141" s="122"/>
    </row>
    <row r="142" spans="1:10">
      <c r="A142" s="30" t="s">
        <v>302</v>
      </c>
      <c r="B142" s="37" t="s">
        <v>220</v>
      </c>
      <c r="C142" s="25"/>
      <c r="D142" s="25"/>
      <c r="E142" s="34"/>
      <c r="F142" s="30"/>
      <c r="G142" s="6"/>
      <c r="H142" s="122"/>
    </row>
    <row r="143" spans="1:10">
      <c r="A143" s="30" t="s">
        <v>303</v>
      </c>
      <c r="B143" s="37" t="s">
        <v>221</v>
      </c>
      <c r="C143" s="30"/>
      <c r="D143" s="30"/>
      <c r="E143" s="30"/>
      <c r="F143" s="30"/>
      <c r="G143" s="6"/>
      <c r="H143" s="122"/>
    </row>
    <row r="144" spans="1:10">
      <c r="A144" s="1213"/>
      <c r="B144" s="1214"/>
      <c r="C144" s="1214"/>
      <c r="D144" s="1214"/>
      <c r="E144" s="1214"/>
      <c r="F144" s="1214"/>
      <c r="G144" s="1216"/>
      <c r="H144" s="124"/>
    </row>
    <row r="145" spans="1:9" ht="15.75" customHeight="1">
      <c r="A145" s="1199" t="s">
        <v>99</v>
      </c>
      <c r="B145" s="1299"/>
      <c r="C145" s="1299"/>
      <c r="D145" s="1299"/>
      <c r="E145" s="1299"/>
      <c r="F145" s="1299"/>
      <c r="G145" s="1299"/>
      <c r="H145" s="128"/>
      <c r="I145" s="120"/>
    </row>
    <row r="147" spans="1:9">
      <c r="A147" s="38">
        <v>30</v>
      </c>
      <c r="B147" s="6" t="s">
        <v>304</v>
      </c>
      <c r="C147" s="53">
        <f>SUM(C148:C149)</f>
        <v>246511</v>
      </c>
    </row>
    <row r="148" spans="1:9">
      <c r="A148" s="27" t="s">
        <v>169</v>
      </c>
      <c r="B148" s="10" t="s">
        <v>167</v>
      </c>
      <c r="C148" s="60">
        <v>246511</v>
      </c>
    </row>
    <row r="149" spans="1:9">
      <c r="A149" s="27" t="s">
        <v>171</v>
      </c>
      <c r="B149" s="10" t="s">
        <v>168</v>
      </c>
      <c r="C149" s="60" t="s">
        <v>380</v>
      </c>
    </row>
    <row r="150" spans="1:9" ht="24.75">
      <c r="A150" s="38">
        <v>31</v>
      </c>
      <c r="B150" s="33" t="s">
        <v>305</v>
      </c>
      <c r="C150" s="9"/>
    </row>
    <row r="151" spans="1:9">
      <c r="A151" s="27" t="s">
        <v>137</v>
      </c>
      <c r="B151" s="10" t="s">
        <v>170</v>
      </c>
      <c r="C151" s="9">
        <v>192298</v>
      </c>
    </row>
    <row r="152" spans="1:9">
      <c r="A152" s="27" t="s">
        <v>138</v>
      </c>
      <c r="B152" s="10" t="s">
        <v>172</v>
      </c>
      <c r="C152" s="9">
        <v>1461351</v>
      </c>
    </row>
    <row r="153" spans="1:9">
      <c r="A153" s="27"/>
      <c r="B153" s="10"/>
      <c r="C153" s="9"/>
    </row>
    <row r="154" spans="1:9">
      <c r="A154" s="30"/>
      <c r="B154" s="1201" t="s">
        <v>306</v>
      </c>
      <c r="C154" s="1202"/>
    </row>
    <row r="155" spans="1:9">
      <c r="A155" s="30">
        <v>32</v>
      </c>
      <c r="B155" s="26" t="s">
        <v>307</v>
      </c>
      <c r="C155" s="52">
        <f>SUM(C156,C157,C163)</f>
        <v>51454</v>
      </c>
    </row>
    <row r="156" spans="1:9" ht="15.75">
      <c r="A156" s="25" t="s">
        <v>308</v>
      </c>
      <c r="B156" s="28" t="s">
        <v>69</v>
      </c>
      <c r="C156" s="744">
        <v>28521</v>
      </c>
    </row>
    <row r="157" spans="1:9">
      <c r="A157" s="27" t="s">
        <v>309</v>
      </c>
      <c r="B157" s="28" t="s">
        <v>70</v>
      </c>
      <c r="C157" s="25">
        <v>6259</v>
      </c>
    </row>
    <row r="158" spans="1:9" ht="15.75">
      <c r="A158" s="30">
        <v>33</v>
      </c>
      <c r="B158" s="41" t="s">
        <v>71</v>
      </c>
      <c r="C158" s="744">
        <v>21534</v>
      </c>
    </row>
    <row r="159" spans="1:9">
      <c r="A159" s="30">
        <v>34</v>
      </c>
      <c r="B159" s="26" t="s">
        <v>310</v>
      </c>
      <c r="C159" s="52">
        <v>886</v>
      </c>
    </row>
    <row r="160" spans="1:9" ht="15.75">
      <c r="A160" s="25" t="s">
        <v>173</v>
      </c>
      <c r="B160" s="28" t="s">
        <v>72</v>
      </c>
      <c r="C160" s="745">
        <v>107</v>
      </c>
    </row>
    <row r="161" spans="1:7" ht="15.75">
      <c r="A161" s="27" t="s">
        <v>175</v>
      </c>
      <c r="B161" s="28" t="s">
        <v>73</v>
      </c>
      <c r="C161" s="744">
        <v>563</v>
      </c>
    </row>
    <row r="162" spans="1:7">
      <c r="A162" s="27" t="s">
        <v>177</v>
      </c>
      <c r="B162" s="28" t="s">
        <v>214</v>
      </c>
      <c r="C162" s="260">
        <v>216</v>
      </c>
    </row>
    <row r="163" spans="1:7">
      <c r="A163" s="23">
        <v>35</v>
      </c>
      <c r="B163" s="26" t="s">
        <v>311</v>
      </c>
      <c r="C163" s="52">
        <v>16674</v>
      </c>
    </row>
    <row r="164" spans="1:7" ht="15.75">
      <c r="A164" s="39" t="s">
        <v>312</v>
      </c>
      <c r="B164" s="41" t="s">
        <v>174</v>
      </c>
      <c r="C164" s="744" t="s">
        <v>380</v>
      </c>
    </row>
    <row r="165" spans="1:7" ht="15.75">
      <c r="A165" s="27" t="s">
        <v>313</v>
      </c>
      <c r="B165" s="41" t="s">
        <v>176</v>
      </c>
      <c r="C165" s="744" t="s">
        <v>380</v>
      </c>
    </row>
    <row r="166" spans="1:7">
      <c r="A166" s="27" t="s">
        <v>314</v>
      </c>
      <c r="B166" s="41" t="s">
        <v>178</v>
      </c>
      <c r="C166" s="167" t="s">
        <v>380</v>
      </c>
    </row>
    <row r="168" spans="1:7">
      <c r="A168" s="23"/>
      <c r="B168" s="129" t="s">
        <v>87</v>
      </c>
      <c r="C168" s="127"/>
      <c r="D168" s="127"/>
      <c r="E168" s="130"/>
      <c r="F168" s="131"/>
    </row>
    <row r="169" spans="1:7">
      <c r="A169" s="23">
        <v>36</v>
      </c>
      <c r="B169" s="132" t="s">
        <v>74</v>
      </c>
      <c r="C169" s="25">
        <v>2371</v>
      </c>
      <c r="D169" s="134"/>
      <c r="E169" s="46"/>
      <c r="F169" s="46"/>
      <c r="G169" s="135"/>
    </row>
    <row r="170" spans="1:7">
      <c r="A170" s="23">
        <v>37</v>
      </c>
      <c r="B170" s="41" t="s">
        <v>75</v>
      </c>
      <c r="C170" s="25">
        <v>3940</v>
      </c>
      <c r="D170" s="134"/>
      <c r="E170" s="46"/>
      <c r="F170" s="46"/>
      <c r="G170" s="135"/>
    </row>
    <row r="171" spans="1:7">
      <c r="A171" s="23">
        <v>38</v>
      </c>
      <c r="B171" s="26" t="s">
        <v>315</v>
      </c>
      <c r="C171" s="52">
        <f>SUM(C172:C174)</f>
        <v>6311</v>
      </c>
      <c r="D171" s="137"/>
      <c r="E171" s="138"/>
      <c r="F171" s="138"/>
      <c r="G171" s="138"/>
    </row>
    <row r="172" spans="1:7">
      <c r="A172" s="39" t="s">
        <v>118</v>
      </c>
      <c r="B172" s="28" t="s">
        <v>208</v>
      </c>
      <c r="C172" s="25">
        <v>4745</v>
      </c>
      <c r="D172" s="134"/>
      <c r="E172" s="46"/>
      <c r="F172" s="46"/>
      <c r="G172" s="135"/>
    </row>
    <row r="173" spans="1:7">
      <c r="A173" s="39" t="s">
        <v>119</v>
      </c>
      <c r="B173" s="28" t="s">
        <v>209</v>
      </c>
      <c r="C173" s="25">
        <v>503</v>
      </c>
      <c r="D173" s="134"/>
      <c r="E173" s="46"/>
      <c r="F173" s="46"/>
      <c r="G173" s="135"/>
    </row>
    <row r="174" spans="1:7">
      <c r="A174" s="27" t="s">
        <v>120</v>
      </c>
      <c r="B174" s="28" t="s">
        <v>210</v>
      </c>
      <c r="C174" s="25">
        <v>1063</v>
      </c>
      <c r="D174" s="134"/>
      <c r="E174" s="46"/>
      <c r="F174" s="46"/>
      <c r="G174" s="135"/>
    </row>
    <row r="175" spans="1:7">
      <c r="A175" s="23">
        <v>39</v>
      </c>
      <c r="B175" s="26" t="s">
        <v>316</v>
      </c>
      <c r="C175" s="52">
        <f>SUM(C176:C178)</f>
        <v>0</v>
      </c>
      <c r="D175" s="134"/>
      <c r="E175" s="46"/>
      <c r="F175" s="46"/>
      <c r="G175" s="135"/>
    </row>
    <row r="176" spans="1:7">
      <c r="A176" s="39" t="s">
        <v>317</v>
      </c>
      <c r="B176" s="28" t="s">
        <v>76</v>
      </c>
      <c r="C176" s="203">
        <v>0</v>
      </c>
      <c r="D176" s="134"/>
      <c r="E176" s="46"/>
      <c r="F176" s="46"/>
      <c r="G176" s="135"/>
    </row>
    <row r="177" spans="1:7">
      <c r="A177" s="39" t="s">
        <v>318</v>
      </c>
      <c r="B177" s="28" t="s">
        <v>77</v>
      </c>
      <c r="C177" s="25">
        <v>0</v>
      </c>
      <c r="D177" s="134"/>
      <c r="E177" s="46"/>
      <c r="F177" s="46"/>
      <c r="G177" s="135"/>
    </row>
    <row r="178" spans="1:7">
      <c r="A178" s="27" t="s">
        <v>319</v>
      </c>
      <c r="B178" s="28" t="s">
        <v>78</v>
      </c>
      <c r="C178" s="25">
        <v>0</v>
      </c>
      <c r="D178" s="134"/>
      <c r="E178" s="46"/>
      <c r="F178" s="46"/>
      <c r="G178" s="135"/>
    </row>
    <row r="179" spans="1:7">
      <c r="A179" s="39"/>
      <c r="B179" s="28"/>
      <c r="C179" s="25"/>
      <c r="D179" s="134"/>
      <c r="E179" s="46"/>
      <c r="F179" s="46"/>
      <c r="G179" s="135"/>
    </row>
    <row r="180" spans="1:7" ht="25.5">
      <c r="A180" s="39"/>
      <c r="B180" s="139" t="s">
        <v>88</v>
      </c>
      <c r="C180" s="25"/>
      <c r="D180" s="134"/>
      <c r="E180" s="46"/>
      <c r="F180" s="46"/>
      <c r="G180" s="135"/>
    </row>
    <row r="181" spans="1:7">
      <c r="A181" s="23">
        <v>40</v>
      </c>
      <c r="B181" s="41" t="s">
        <v>74</v>
      </c>
      <c r="C181" s="25">
        <v>1426</v>
      </c>
      <c r="D181" s="134"/>
      <c r="E181" s="46"/>
      <c r="F181" s="46"/>
      <c r="G181" s="135"/>
    </row>
    <row r="182" spans="1:7">
      <c r="A182" s="23">
        <v>41</v>
      </c>
      <c r="B182" s="41" t="s">
        <v>75</v>
      </c>
      <c r="C182" s="25">
        <v>3215</v>
      </c>
      <c r="D182" s="134"/>
      <c r="E182" s="46"/>
      <c r="F182" s="46"/>
      <c r="G182" s="135"/>
    </row>
    <row r="183" spans="1:7">
      <c r="A183" s="23">
        <v>42</v>
      </c>
      <c r="B183" s="26" t="s">
        <v>320</v>
      </c>
      <c r="C183" s="52">
        <f>SUM(C184:C186)</f>
        <v>4641</v>
      </c>
      <c r="D183" s="134"/>
      <c r="E183" s="46"/>
      <c r="F183" s="46"/>
      <c r="G183" s="135"/>
    </row>
    <row r="184" spans="1:7">
      <c r="A184" s="39" t="s">
        <v>96</v>
      </c>
      <c r="B184" s="28" t="s">
        <v>211</v>
      </c>
      <c r="C184" s="25">
        <v>2840</v>
      </c>
      <c r="D184" s="134"/>
      <c r="E184" s="46"/>
      <c r="F184" s="46"/>
      <c r="G184" s="135"/>
    </row>
    <row r="185" spans="1:7">
      <c r="A185" s="39" t="s">
        <v>97</v>
      </c>
      <c r="B185" s="28" t="s">
        <v>212</v>
      </c>
      <c r="C185" s="25">
        <v>359</v>
      </c>
      <c r="D185" s="140"/>
      <c r="E185" s="141"/>
      <c r="F185" s="46"/>
      <c r="G185" s="135"/>
    </row>
    <row r="186" spans="1:7">
      <c r="A186" s="27" t="s">
        <v>98</v>
      </c>
      <c r="B186" s="28" t="s">
        <v>213</v>
      </c>
      <c r="C186" s="25">
        <v>1442</v>
      </c>
      <c r="D186" s="25"/>
      <c r="E186" s="25"/>
      <c r="F186" s="46"/>
    </row>
    <row r="187" spans="1:7">
      <c r="A187" s="23">
        <v>43</v>
      </c>
      <c r="B187" s="26" t="s">
        <v>321</v>
      </c>
      <c r="C187" s="52">
        <f>SUM(C188:C190)</f>
        <v>0</v>
      </c>
      <c r="D187" s="25"/>
      <c r="E187" s="25"/>
      <c r="F187" s="46"/>
    </row>
    <row r="188" spans="1:7">
      <c r="A188" s="39" t="s">
        <v>100</v>
      </c>
      <c r="B188" s="28" t="s">
        <v>76</v>
      </c>
      <c r="C188" s="203">
        <v>0</v>
      </c>
      <c r="D188" s="25"/>
      <c r="E188" s="25"/>
      <c r="F188" s="46"/>
    </row>
    <row r="189" spans="1:7">
      <c r="A189" s="39" t="s">
        <v>101</v>
      </c>
      <c r="B189" s="28" t="s">
        <v>77</v>
      </c>
      <c r="C189" s="203">
        <v>0</v>
      </c>
      <c r="D189" s="25"/>
      <c r="E189" s="25"/>
      <c r="F189" s="46"/>
    </row>
    <row r="190" spans="1:7">
      <c r="A190" s="25" t="s">
        <v>102</v>
      </c>
      <c r="B190" s="13" t="s">
        <v>78</v>
      </c>
      <c r="C190" s="25">
        <v>0</v>
      </c>
      <c r="D190" s="25"/>
      <c r="E190" s="25"/>
      <c r="F190" s="46"/>
    </row>
    <row r="191" spans="1:7">
      <c r="D191" s="142"/>
      <c r="E191" s="143"/>
    </row>
    <row r="192" spans="1:7">
      <c r="A192" s="25"/>
      <c r="B192" s="6" t="s">
        <v>322</v>
      </c>
      <c r="C192" s="40" t="s">
        <v>90</v>
      </c>
      <c r="D192" s="1297" t="s">
        <v>81</v>
      </c>
      <c r="E192" s="1298"/>
      <c r="F192" s="131"/>
    </row>
    <row r="193" spans="1:6">
      <c r="A193" s="25"/>
      <c r="B193" s="10"/>
      <c r="C193" s="40"/>
      <c r="D193" s="43" t="s">
        <v>82</v>
      </c>
      <c r="E193" s="43" t="s">
        <v>83</v>
      </c>
      <c r="F193" s="144"/>
    </row>
    <row r="194" spans="1:6">
      <c r="A194" s="30">
        <v>44</v>
      </c>
      <c r="B194" s="6" t="s">
        <v>323</v>
      </c>
      <c r="C194" s="54">
        <v>50</v>
      </c>
      <c r="D194" s="52">
        <f>SUM(D195:D197)</f>
        <v>0</v>
      </c>
      <c r="E194" s="52">
        <f>SUM(E195:E197)</f>
        <v>0</v>
      </c>
      <c r="F194" s="145"/>
    </row>
    <row r="195" spans="1:6">
      <c r="A195" s="25" t="s">
        <v>121</v>
      </c>
      <c r="B195" s="13" t="s">
        <v>181</v>
      </c>
      <c r="C195" s="40">
        <v>50</v>
      </c>
      <c r="D195" s="25"/>
      <c r="E195" s="25"/>
      <c r="F195" s="46"/>
    </row>
    <row r="196" spans="1:6">
      <c r="A196" s="25" t="s">
        <v>122</v>
      </c>
      <c r="B196" s="13" t="s">
        <v>182</v>
      </c>
      <c r="C196" s="40">
        <v>0</v>
      </c>
      <c r="D196" s="25"/>
      <c r="E196" s="25"/>
      <c r="F196" s="46"/>
    </row>
    <row r="197" spans="1:6">
      <c r="A197" s="27" t="s">
        <v>123</v>
      </c>
      <c r="B197" s="13" t="s">
        <v>180</v>
      </c>
      <c r="C197" s="40">
        <v>0</v>
      </c>
      <c r="D197" s="25"/>
      <c r="E197" s="25"/>
      <c r="F197" s="46"/>
    </row>
    <row r="198" spans="1:6">
      <c r="A198" s="30">
        <v>45</v>
      </c>
      <c r="B198" s="6" t="s">
        <v>324</v>
      </c>
      <c r="C198" s="54">
        <v>1366</v>
      </c>
      <c r="D198" s="52">
        <f>SUM(D199:D201)</f>
        <v>0</v>
      </c>
      <c r="E198" s="52">
        <f>SUM(E199:E201)</f>
        <v>0</v>
      </c>
      <c r="F198" s="145"/>
    </row>
    <row r="199" spans="1:6">
      <c r="A199" s="25" t="s">
        <v>325</v>
      </c>
      <c r="B199" s="13" t="s">
        <v>80</v>
      </c>
      <c r="C199" s="40">
        <v>1366</v>
      </c>
      <c r="D199" s="25"/>
      <c r="E199" s="25"/>
      <c r="F199" s="46"/>
    </row>
    <row r="200" spans="1:6">
      <c r="A200" s="25" t="s">
        <v>326</v>
      </c>
      <c r="B200" s="13" t="s">
        <v>60</v>
      </c>
      <c r="C200" s="40">
        <v>0</v>
      </c>
      <c r="D200" s="25"/>
      <c r="E200" s="25"/>
      <c r="F200" s="46"/>
    </row>
    <row r="201" spans="1:6">
      <c r="A201" s="27" t="s">
        <v>327</v>
      </c>
      <c r="B201" s="13" t="s">
        <v>180</v>
      </c>
      <c r="C201" s="40">
        <v>0</v>
      </c>
      <c r="D201" s="25"/>
      <c r="E201" s="25"/>
      <c r="F201" s="46"/>
    </row>
    <row r="202" spans="1:6">
      <c r="A202" s="44"/>
      <c r="B202" s="45"/>
      <c r="C202" s="46"/>
      <c r="D202" s="146"/>
      <c r="E202" s="147"/>
      <c r="F202" s="46"/>
    </row>
    <row r="203" spans="1:6">
      <c r="A203" s="30">
        <v>46</v>
      </c>
      <c r="B203" s="10" t="s">
        <v>203</v>
      </c>
      <c r="C203" s="40">
        <v>0</v>
      </c>
      <c r="D203" s="25"/>
      <c r="E203" s="25"/>
      <c r="F203" s="46"/>
    </row>
    <row r="204" spans="1:6">
      <c r="A204" s="30">
        <v>47</v>
      </c>
      <c r="B204" s="49" t="s">
        <v>204</v>
      </c>
      <c r="C204" s="40">
        <v>0</v>
      </c>
      <c r="D204" s="25"/>
      <c r="E204" s="25"/>
      <c r="F204" s="46"/>
    </row>
    <row r="205" spans="1:6">
      <c r="A205" s="30">
        <v>48</v>
      </c>
      <c r="B205" s="10" t="s">
        <v>179</v>
      </c>
      <c r="C205" s="40">
        <v>8</v>
      </c>
      <c r="D205" s="25"/>
      <c r="E205" s="25"/>
      <c r="F205" s="46"/>
    </row>
    <row r="206" spans="1:6">
      <c r="A206" s="30">
        <v>49</v>
      </c>
      <c r="B206" s="10" t="s">
        <v>61</v>
      </c>
      <c r="C206" s="40">
        <v>457</v>
      </c>
      <c r="D206" s="25"/>
      <c r="E206" s="25"/>
      <c r="F206" s="46"/>
    </row>
    <row r="207" spans="1:6">
      <c r="A207" s="204">
        <v>50</v>
      </c>
      <c r="B207" s="48" t="s">
        <v>202</v>
      </c>
      <c r="C207" s="47" t="s">
        <v>380</v>
      </c>
      <c r="D207" s="149"/>
      <c r="E207" s="150"/>
      <c r="F207" s="47"/>
    </row>
    <row r="208" spans="1:6">
      <c r="A208" s="47"/>
      <c r="B208" s="151"/>
      <c r="C208" s="47"/>
      <c r="D208" s="47"/>
      <c r="E208" s="47"/>
      <c r="F208" s="47"/>
    </row>
    <row r="209" spans="1:6">
      <c r="A209" s="47"/>
      <c r="B209" s="6" t="s">
        <v>506</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f>SUM(C212:C227)</f>
        <v>218</v>
      </c>
      <c r="D211" s="52">
        <f>SUM(D212:D227)</f>
        <v>88</v>
      </c>
      <c r="E211" s="52">
        <f>SUM(E212:E227)</f>
        <v>276</v>
      </c>
      <c r="F211" s="10"/>
    </row>
    <row r="212" spans="1:6" s="1" customFormat="1">
      <c r="A212" s="27" t="s">
        <v>329</v>
      </c>
      <c r="B212" s="13" t="s">
        <v>226</v>
      </c>
      <c r="C212" s="9">
        <v>67</v>
      </c>
      <c r="D212" s="9">
        <v>70</v>
      </c>
      <c r="E212" s="9">
        <v>64</v>
      </c>
      <c r="F212" s="10"/>
    </row>
    <row r="213" spans="1:6" s="1" customFormat="1">
      <c r="A213" s="27" t="s">
        <v>330</v>
      </c>
      <c r="B213" s="35" t="s">
        <v>128</v>
      </c>
      <c r="C213" s="9"/>
      <c r="D213" s="9"/>
      <c r="E213" s="9"/>
      <c r="F213" s="10"/>
    </row>
    <row r="214" spans="1:6" s="1" customFormat="1">
      <c r="A214" s="27" t="s">
        <v>331</v>
      </c>
      <c r="B214" s="13" t="s">
        <v>227</v>
      </c>
      <c r="C214" s="9">
        <v>34</v>
      </c>
      <c r="D214" s="9">
        <v>0</v>
      </c>
      <c r="E214" s="9">
        <v>61</v>
      </c>
      <c r="F214" s="10"/>
    </row>
    <row r="215" spans="1:6" s="1" customFormat="1">
      <c r="A215" s="27" t="s">
        <v>332</v>
      </c>
      <c r="B215" s="35" t="s">
        <v>130</v>
      </c>
      <c r="C215" s="9">
        <v>32</v>
      </c>
      <c r="D215" s="9">
        <v>0</v>
      </c>
      <c r="E215" s="9">
        <v>59</v>
      </c>
      <c r="F215" s="10"/>
    </row>
    <row r="216" spans="1:6" s="1" customFormat="1">
      <c r="A216" s="27" t="s">
        <v>333</v>
      </c>
      <c r="B216" s="13" t="s">
        <v>232</v>
      </c>
      <c r="C216" s="9" t="s">
        <v>400</v>
      </c>
      <c r="D216" s="9" t="s">
        <v>400</v>
      </c>
      <c r="E216" s="9" t="s">
        <v>400</v>
      </c>
      <c r="F216" s="10"/>
    </row>
    <row r="217" spans="1:6" s="1" customFormat="1">
      <c r="A217" s="27" t="s">
        <v>334</v>
      </c>
      <c r="B217" s="35" t="s">
        <v>131</v>
      </c>
      <c r="C217" s="9"/>
      <c r="D217" s="9"/>
      <c r="E217" s="9"/>
      <c r="F217" s="10"/>
    </row>
    <row r="218" spans="1:6" s="1" customFormat="1">
      <c r="A218" s="27" t="s">
        <v>335</v>
      </c>
      <c r="B218" s="13" t="s">
        <v>233</v>
      </c>
      <c r="C218" s="9">
        <v>3</v>
      </c>
      <c r="D218" s="9">
        <v>2</v>
      </c>
      <c r="E218" s="9">
        <v>1</v>
      </c>
      <c r="F218" s="10"/>
    </row>
    <row r="219" spans="1:6" s="1" customFormat="1">
      <c r="A219" s="27" t="s">
        <v>336</v>
      </c>
      <c r="B219" s="35" t="s">
        <v>132</v>
      </c>
      <c r="C219" s="9">
        <v>2</v>
      </c>
      <c r="D219" s="9">
        <v>2</v>
      </c>
      <c r="E219" s="9">
        <v>0</v>
      </c>
      <c r="F219" s="10"/>
    </row>
    <row r="220" spans="1:6" s="1" customFormat="1">
      <c r="A220" s="27" t="s">
        <v>337</v>
      </c>
      <c r="B220" s="13" t="s">
        <v>234</v>
      </c>
      <c r="C220" s="9">
        <v>47</v>
      </c>
      <c r="D220" s="9"/>
      <c r="E220" s="9">
        <v>55</v>
      </c>
      <c r="F220" s="10"/>
    </row>
    <row r="221" spans="1:6" s="1" customFormat="1">
      <c r="A221" s="27" t="s">
        <v>338</v>
      </c>
      <c r="B221" s="35" t="s">
        <v>133</v>
      </c>
      <c r="C221" s="9">
        <v>29</v>
      </c>
      <c r="D221" s="9">
        <v>6</v>
      </c>
      <c r="E221" s="9">
        <v>29</v>
      </c>
      <c r="F221" s="10"/>
    </row>
    <row r="222" spans="1:6" s="1" customFormat="1">
      <c r="A222" s="27" t="s">
        <v>339</v>
      </c>
      <c r="B222" s="13" t="s">
        <v>235</v>
      </c>
      <c r="C222" s="9">
        <v>0</v>
      </c>
      <c r="D222" s="9">
        <v>0</v>
      </c>
      <c r="E222" s="9">
        <v>1</v>
      </c>
      <c r="F222" s="10"/>
    </row>
    <row r="223" spans="1:6" s="1" customFormat="1">
      <c r="A223" s="27" t="s">
        <v>340</v>
      </c>
      <c r="B223" s="35" t="s">
        <v>134</v>
      </c>
      <c r="C223" s="9" t="s">
        <v>400</v>
      </c>
      <c r="D223" s="9" t="s">
        <v>400</v>
      </c>
      <c r="E223" s="9" t="s">
        <v>400</v>
      </c>
      <c r="F223" s="10"/>
    </row>
    <row r="224" spans="1:6" s="1" customFormat="1">
      <c r="A224" s="27" t="s">
        <v>341</v>
      </c>
      <c r="B224" s="13" t="s">
        <v>236</v>
      </c>
      <c r="C224" s="9">
        <v>0</v>
      </c>
      <c r="D224" s="9">
        <v>8</v>
      </c>
      <c r="E224" s="9">
        <v>0</v>
      </c>
      <c r="F224" s="10"/>
    </row>
    <row r="225" spans="1:8" s="1" customFormat="1">
      <c r="A225" s="27" t="s">
        <v>342</v>
      </c>
      <c r="B225" s="35" t="s">
        <v>135</v>
      </c>
      <c r="C225" s="9"/>
      <c r="D225" s="9"/>
      <c r="E225" s="9"/>
      <c r="F225" s="10"/>
    </row>
    <row r="226" spans="1:8" s="1" customFormat="1">
      <c r="A226" s="27" t="s">
        <v>343</v>
      </c>
      <c r="B226" s="13" t="s">
        <v>237</v>
      </c>
      <c r="C226" s="9">
        <v>2</v>
      </c>
      <c r="D226" s="9">
        <v>0</v>
      </c>
      <c r="E226" s="9">
        <v>4</v>
      </c>
      <c r="F226" s="10"/>
    </row>
    <row r="227" spans="1:8" s="1" customFormat="1" ht="25.5">
      <c r="A227" s="27" t="s">
        <v>344</v>
      </c>
      <c r="B227" s="152" t="s">
        <v>136</v>
      </c>
      <c r="C227" s="9">
        <v>2</v>
      </c>
      <c r="D227" s="9" t="s">
        <v>400</v>
      </c>
      <c r="E227" s="9">
        <v>2</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205">
        <v>94</v>
      </c>
      <c r="D230" s="47"/>
      <c r="E230" s="47"/>
      <c r="F230" s="47"/>
    </row>
    <row r="231" spans="1:8">
      <c r="A231" s="27" t="s">
        <v>347</v>
      </c>
      <c r="B231" s="152" t="s">
        <v>115</v>
      </c>
      <c r="C231" s="164" t="s">
        <v>400</v>
      </c>
      <c r="D231" s="4"/>
      <c r="E231" s="4"/>
      <c r="F231" s="47"/>
    </row>
    <row r="232" spans="1:8" ht="25.5">
      <c r="A232" s="27" t="s">
        <v>348</v>
      </c>
      <c r="B232" s="155" t="s">
        <v>239</v>
      </c>
      <c r="C232" s="164" t="s">
        <v>380</v>
      </c>
      <c r="D232" s="47"/>
      <c r="E232" s="47"/>
      <c r="F232" s="47"/>
    </row>
    <row r="233" spans="1:8">
      <c r="A233" s="27" t="s">
        <v>349</v>
      </c>
      <c r="B233" s="152" t="s">
        <v>116</v>
      </c>
      <c r="C233" s="164" t="s">
        <v>400</v>
      </c>
      <c r="D233" s="47"/>
      <c r="E233" s="47"/>
      <c r="F233" s="47"/>
    </row>
    <row r="234" spans="1:8" ht="25.5">
      <c r="A234" s="27" t="s">
        <v>350</v>
      </c>
      <c r="B234" s="155" t="s">
        <v>240</v>
      </c>
      <c r="C234" s="164">
        <v>50</v>
      </c>
      <c r="D234" s="47"/>
      <c r="E234" s="47"/>
      <c r="F234" s="47"/>
    </row>
    <row r="235" spans="1:8">
      <c r="A235" s="27" t="s">
        <v>351</v>
      </c>
      <c r="B235" s="152" t="s">
        <v>117</v>
      </c>
      <c r="C235" s="206" t="s">
        <v>400</v>
      </c>
      <c r="D235" s="47"/>
      <c r="E235" s="47"/>
      <c r="F235" s="47"/>
    </row>
    <row r="236" spans="1:8">
      <c r="A236" s="158"/>
      <c r="B236" s="159"/>
      <c r="C236" s="47"/>
      <c r="D236" s="47"/>
      <c r="E236" s="47"/>
      <c r="F236" s="47"/>
    </row>
    <row r="237" spans="1:8" ht="15.75" customHeight="1">
      <c r="A237" s="1199" t="s">
        <v>89</v>
      </c>
      <c r="B237" s="1299"/>
      <c r="C237" s="1299"/>
      <c r="D237" s="1299"/>
      <c r="E237" s="1299"/>
      <c r="F237" s="1299"/>
      <c r="G237" s="1300"/>
      <c r="H237" s="120"/>
    </row>
    <row r="238" spans="1:8">
      <c r="A238" s="25" t="s">
        <v>86</v>
      </c>
      <c r="B238" s="25" t="s">
        <v>8</v>
      </c>
      <c r="C238" s="25" t="s">
        <v>0</v>
      </c>
      <c r="D238" s="25"/>
      <c r="E238" s="40"/>
      <c r="F238" s="40"/>
      <c r="G238" s="10"/>
      <c r="H238" s="3"/>
    </row>
    <row r="239" spans="1:8">
      <c r="A239" s="30">
        <v>52</v>
      </c>
      <c r="B239" s="10" t="s">
        <v>62</v>
      </c>
      <c r="C239" s="25">
        <v>61</v>
      </c>
      <c r="D239" s="25"/>
      <c r="E239" s="40"/>
      <c r="F239" s="40"/>
      <c r="G239" s="10"/>
      <c r="H239" s="3"/>
    </row>
    <row r="240" spans="1:8">
      <c r="A240" s="30">
        <v>53</v>
      </c>
      <c r="B240" s="10" t="s">
        <v>63</v>
      </c>
      <c r="C240" s="61">
        <v>13541</v>
      </c>
      <c r="D240" s="25"/>
      <c r="E240" s="40"/>
      <c r="F240" s="40"/>
      <c r="G240" s="10"/>
      <c r="H240" s="3"/>
    </row>
    <row r="241" spans="1:10">
      <c r="A241" s="30">
        <v>54</v>
      </c>
      <c r="B241" s="10" t="s">
        <v>215</v>
      </c>
      <c r="C241" s="25">
        <v>61</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277</v>
      </c>
      <c r="D245" s="52">
        <f>SUM(D246:D251)</f>
        <v>373</v>
      </c>
      <c r="E245" s="54">
        <f>SUM(E246:E251)</f>
        <v>360</v>
      </c>
      <c r="F245" s="54">
        <f>SUM(F246:F251)</f>
        <v>119</v>
      </c>
      <c r="G245" s="52">
        <f>SUM(C245:F245)</f>
        <v>1129</v>
      </c>
      <c r="H245" s="145"/>
    </row>
    <row r="246" spans="1:10">
      <c r="A246" s="25" t="s">
        <v>353</v>
      </c>
      <c r="B246" s="13" t="s">
        <v>64</v>
      </c>
      <c r="C246" s="61">
        <v>86</v>
      </c>
      <c r="D246" s="61">
        <v>104</v>
      </c>
      <c r="E246" s="61">
        <v>124</v>
      </c>
      <c r="F246" s="61">
        <v>90</v>
      </c>
      <c r="G246" s="52">
        <f>SUM(C246:F246)</f>
        <v>404</v>
      </c>
      <c r="H246" s="3"/>
      <c r="J246" s="46"/>
    </row>
    <row r="247" spans="1:10">
      <c r="A247" s="27" t="s">
        <v>354</v>
      </c>
      <c r="B247" s="13" t="s">
        <v>65</v>
      </c>
      <c r="C247" s="25"/>
      <c r="D247" s="25"/>
      <c r="E247" s="40"/>
      <c r="F247" s="40"/>
      <c r="G247" s="52"/>
      <c r="H247" s="3"/>
    </row>
    <row r="248" spans="1:10">
      <c r="A248" s="27" t="s">
        <v>355</v>
      </c>
      <c r="B248" s="13" t="s">
        <v>66</v>
      </c>
      <c r="C248" s="25"/>
      <c r="D248" s="25"/>
      <c r="E248" s="40">
        <v>22</v>
      </c>
      <c r="F248" s="40">
        <v>18</v>
      </c>
      <c r="G248" s="52">
        <f>SUM(E248:F248)</f>
        <v>40</v>
      </c>
      <c r="H248" s="3"/>
    </row>
    <row r="249" spans="1:10">
      <c r="A249" s="27" t="s">
        <v>356</v>
      </c>
      <c r="B249" s="13" t="s">
        <v>67</v>
      </c>
      <c r="C249" s="25"/>
      <c r="D249" s="25">
        <v>52</v>
      </c>
      <c r="E249" s="40">
        <v>3</v>
      </c>
      <c r="F249" s="40">
        <v>11</v>
      </c>
      <c r="G249" s="52">
        <f>SUM(D249:F249)</f>
        <v>66</v>
      </c>
      <c r="H249" s="3"/>
    </row>
    <row r="250" spans="1:10">
      <c r="A250" s="25" t="s">
        <v>357</v>
      </c>
      <c r="B250" s="13" t="s">
        <v>68</v>
      </c>
      <c r="C250" s="25">
        <v>0</v>
      </c>
      <c r="D250" s="25">
        <v>0</v>
      </c>
      <c r="E250" s="40">
        <v>0</v>
      </c>
      <c r="F250" s="40">
        <v>0</v>
      </c>
      <c r="G250" s="52">
        <v>0</v>
      </c>
      <c r="H250" s="3"/>
    </row>
    <row r="251" spans="1:10" ht="24.75">
      <c r="A251" s="27" t="s">
        <v>358</v>
      </c>
      <c r="B251" s="155" t="s">
        <v>183</v>
      </c>
      <c r="C251" s="25">
        <v>191</v>
      </c>
      <c r="D251" s="25">
        <v>217</v>
      </c>
      <c r="E251" s="25">
        <v>211</v>
      </c>
      <c r="F251" s="25">
        <v>0</v>
      </c>
      <c r="G251" s="25">
        <f>SUM(C251:F251)</f>
        <v>619</v>
      </c>
      <c r="H251" s="3"/>
    </row>
    <row r="252" spans="1:10" ht="15">
      <c r="B252" s="207"/>
    </row>
    <row r="453" spans="1:1">
      <c r="A453" s="135"/>
    </row>
    <row r="454" spans="1:1">
      <c r="A454" s="135"/>
    </row>
    <row r="455" spans="1:1">
      <c r="A455" s="135"/>
    </row>
    <row r="456" spans="1:1">
      <c r="A456" s="135"/>
    </row>
    <row r="457" spans="1:1">
      <c r="A457" s="135"/>
    </row>
    <row r="458" spans="1:1">
      <c r="A458" s="135"/>
    </row>
    <row r="459" spans="1:1">
      <c r="A459" s="135"/>
    </row>
    <row r="460" spans="1:1">
      <c r="A460" s="135"/>
    </row>
    <row r="461" spans="1:1">
      <c r="A461" s="135"/>
    </row>
    <row r="462" spans="1:1">
      <c r="A462" s="135"/>
    </row>
    <row r="463" spans="1:1">
      <c r="A463" s="135"/>
    </row>
    <row r="464" spans="1:1">
      <c r="A464" s="135"/>
    </row>
    <row r="465" spans="1:1">
      <c r="A465" s="135"/>
    </row>
    <row r="466" spans="1:1">
      <c r="A466" s="135"/>
    </row>
    <row r="467" spans="1:1">
      <c r="A467" s="135"/>
    </row>
    <row r="468" spans="1:1">
      <c r="A468" s="135"/>
    </row>
    <row r="469" spans="1:1">
      <c r="A469" s="135"/>
    </row>
    <row r="470" spans="1:1">
      <c r="A470" s="135"/>
    </row>
    <row r="471" spans="1:1">
      <c r="A471" s="135"/>
    </row>
    <row r="472" spans="1:1">
      <c r="A472" s="135"/>
    </row>
    <row r="473" spans="1:1">
      <c r="A473" s="135"/>
    </row>
    <row r="474" spans="1:1">
      <c r="A474" s="135"/>
    </row>
    <row r="475" spans="1:1">
      <c r="A475" s="135"/>
    </row>
    <row r="476" spans="1:1">
      <c r="A476" s="135"/>
    </row>
    <row r="477" spans="1:1">
      <c r="A477" s="135"/>
    </row>
    <row r="478" spans="1:1">
      <c r="A478" s="135"/>
    </row>
    <row r="479" spans="1:1">
      <c r="A479" s="135"/>
    </row>
    <row r="480" spans="1:1">
      <c r="A480" s="135"/>
    </row>
    <row r="481" spans="1:1">
      <c r="A481" s="135"/>
    </row>
    <row r="482" spans="1:1">
      <c r="A482" s="135"/>
    </row>
    <row r="483" spans="1:1">
      <c r="A483" s="135"/>
    </row>
    <row r="484" spans="1:1">
      <c r="A484" s="135"/>
    </row>
    <row r="485" spans="1:1">
      <c r="A485" s="135"/>
    </row>
    <row r="486" spans="1:1">
      <c r="A486" s="135"/>
    </row>
    <row r="487" spans="1:1">
      <c r="A487" s="135"/>
    </row>
    <row r="488" spans="1:1">
      <c r="A488" s="135"/>
    </row>
    <row r="489" spans="1:1">
      <c r="A489" s="135"/>
    </row>
    <row r="490" spans="1:1">
      <c r="A490" s="135"/>
    </row>
    <row r="491" spans="1:1">
      <c r="A491" s="135"/>
    </row>
    <row r="492" spans="1:1">
      <c r="A492" s="135"/>
    </row>
  </sheetData>
  <mergeCells count="81">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A99:G99"/>
    <mergeCell ref="D86:E86"/>
    <mergeCell ref="D87:E87"/>
    <mergeCell ref="D88:E88"/>
    <mergeCell ref="D89:E89"/>
    <mergeCell ref="D90:E90"/>
    <mergeCell ref="D91:E91"/>
    <mergeCell ref="D93:E93"/>
    <mergeCell ref="D94:E94"/>
    <mergeCell ref="D95:E95"/>
    <mergeCell ref="D96:E96"/>
    <mergeCell ref="D97:E97"/>
    <mergeCell ref="B154:C154"/>
    <mergeCell ref="D192:E192"/>
    <mergeCell ref="A237:G237"/>
    <mergeCell ref="A101:A102"/>
    <mergeCell ref="B101:B102"/>
    <mergeCell ref="C101:E102"/>
    <mergeCell ref="G101:G102"/>
    <mergeCell ref="A144:G144"/>
    <mergeCell ref="A145:G145"/>
  </mergeCells>
  <hyperlinks>
    <hyperlink ref="B9" r:id="rId1"/>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dimension ref="A1:J252"/>
  <sheetViews>
    <sheetView topLeftCell="A8" workbookViewId="0">
      <selection activeCell="G130" sqref="G130"/>
    </sheetView>
  </sheetViews>
  <sheetFormatPr defaultRowHeight="12.75"/>
  <cols>
    <col min="1" max="1" width="11.28515625" customWidth="1"/>
    <col min="2" max="2" width="60.28515625" customWidth="1"/>
    <col min="3" max="3" width="11.28515625" customWidth="1"/>
    <col min="4" max="4" width="10.7109375" customWidth="1"/>
    <col min="5" max="5" width="15" customWidth="1"/>
    <col min="6" max="6" width="6.28515625" customWidth="1"/>
    <col min="7" max="7" width="19" bestFit="1" customWidth="1"/>
    <col min="8" max="8" width="9.140625" customWidth="1"/>
  </cols>
  <sheetData>
    <row r="1" spans="1:8" ht="18">
      <c r="A1" s="65"/>
      <c r="B1" s="66" t="s">
        <v>241</v>
      </c>
      <c r="C1" s="66"/>
      <c r="D1" s="162" t="s">
        <v>393</v>
      </c>
      <c r="E1" s="67"/>
      <c r="F1" s="67"/>
      <c r="G1" s="66"/>
      <c r="H1" s="172"/>
    </row>
    <row r="2" spans="1:8">
      <c r="A2" s="69"/>
      <c r="B2" s="172"/>
      <c r="C2" s="69"/>
      <c r="D2" s="69"/>
      <c r="E2" s="69"/>
      <c r="F2" s="69"/>
      <c r="G2" s="172"/>
      <c r="H2" s="172"/>
    </row>
    <row r="3" spans="1:8" ht="15.75">
      <c r="A3" s="70" t="s">
        <v>161</v>
      </c>
      <c r="B3" s="194" t="s">
        <v>444</v>
      </c>
      <c r="C3" s="72"/>
      <c r="D3" s="73" t="s">
        <v>185</v>
      </c>
      <c r="E3" s="72"/>
      <c r="F3" s="72"/>
      <c r="G3" s="172"/>
      <c r="H3" s="172"/>
    </row>
    <row r="4" spans="1:8">
      <c r="A4" s="69"/>
      <c r="B4" s="172"/>
      <c r="C4" s="69"/>
      <c r="D4" s="69"/>
      <c r="E4" s="69"/>
      <c r="F4" s="69"/>
      <c r="G4" s="172"/>
      <c r="H4" s="172"/>
    </row>
    <row r="5" spans="1:8" ht="12.75" customHeight="1">
      <c r="A5" s="1231" t="s">
        <v>189</v>
      </c>
      <c r="B5" s="71" t="s">
        <v>445</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71" t="s">
        <v>446</v>
      </c>
      <c r="C7" s="72"/>
      <c r="D7" s="72"/>
      <c r="E7" s="72"/>
      <c r="F7" s="72"/>
      <c r="G7" s="172"/>
      <c r="H7" s="172"/>
    </row>
    <row r="8" spans="1:8">
      <c r="A8" s="1231"/>
      <c r="B8" s="172"/>
      <c r="C8" s="72"/>
      <c r="D8" s="75" t="s">
        <v>188</v>
      </c>
      <c r="E8" s="69"/>
      <c r="F8" s="69"/>
      <c r="G8" s="172"/>
      <c r="H8" s="172"/>
    </row>
    <row r="9" spans="1:8">
      <c r="A9" s="76" t="s">
        <v>190</v>
      </c>
      <c r="B9" s="173" t="s">
        <v>447</v>
      </c>
      <c r="C9" s="72"/>
      <c r="D9" s="69"/>
      <c r="E9" s="69"/>
      <c r="F9" s="69"/>
      <c r="G9" s="172"/>
      <c r="H9" s="172"/>
    </row>
    <row r="10" spans="1:8">
      <c r="A10" s="67"/>
      <c r="B10" s="172"/>
      <c r="C10" s="69"/>
      <c r="D10" s="77" t="s">
        <v>242</v>
      </c>
      <c r="E10" s="69"/>
      <c r="F10" s="78"/>
      <c r="G10" s="172"/>
      <c r="H10" s="172"/>
    </row>
    <row r="11" spans="1:8">
      <c r="A11" s="79" t="s">
        <v>162</v>
      </c>
      <c r="B11" s="71" t="s">
        <v>448</v>
      </c>
      <c r="C11" s="72"/>
      <c r="D11" s="69"/>
      <c r="E11" s="69"/>
      <c r="F11" s="69"/>
      <c r="G11" s="172"/>
      <c r="H11" s="172"/>
    </row>
    <row r="12" spans="1:8">
      <c r="A12" s="69"/>
      <c r="B12" s="172"/>
      <c r="C12" s="69"/>
      <c r="D12" s="67"/>
      <c r="E12" s="69"/>
      <c r="F12" s="69"/>
      <c r="G12" s="172"/>
      <c r="H12" s="172"/>
    </row>
    <row r="13" spans="1:8">
      <c r="A13" s="1232" t="s">
        <v>163</v>
      </c>
      <c r="B13" s="71" t="s">
        <v>449</v>
      </c>
      <c r="C13" s="72"/>
      <c r="D13" s="72"/>
      <c r="E13" s="69"/>
      <c r="F13" s="69"/>
      <c r="G13" s="172"/>
      <c r="H13" s="172"/>
    </row>
    <row r="14" spans="1:8">
      <c r="A14" s="1232"/>
      <c r="B14" s="172"/>
      <c r="C14" s="172"/>
      <c r="D14" s="172"/>
      <c r="E14" s="172"/>
      <c r="F14" s="172"/>
      <c r="G14" s="172"/>
      <c r="H14" s="172"/>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v>1</v>
      </c>
      <c r="D18" s="1218"/>
      <c r="E18" s="1218"/>
      <c r="F18" s="84"/>
      <c r="G18" s="85"/>
      <c r="H18" s="72"/>
    </row>
    <row r="19" spans="1:8" ht="25.5">
      <c r="A19" s="11" t="s">
        <v>111</v>
      </c>
      <c r="B19" s="86" t="s">
        <v>228</v>
      </c>
      <c r="C19" s="8">
        <v>4</v>
      </c>
      <c r="D19" s="1218"/>
      <c r="E19" s="1218"/>
      <c r="F19" s="84"/>
      <c r="G19" s="85"/>
      <c r="H19" s="72"/>
    </row>
    <row r="20" spans="1:8" ht="25.5">
      <c r="A20" s="11" t="s">
        <v>112</v>
      </c>
      <c r="B20" s="86" t="s">
        <v>229</v>
      </c>
      <c r="C20" s="8">
        <v>12</v>
      </c>
      <c r="D20" s="1218"/>
      <c r="E20" s="1218"/>
      <c r="F20" s="84"/>
      <c r="G20" s="85"/>
      <c r="H20" s="72"/>
    </row>
    <row r="21" spans="1:8" ht="25.5">
      <c r="A21" s="11" t="s">
        <v>113</v>
      </c>
      <c r="B21" s="87" t="s">
        <v>230</v>
      </c>
      <c r="C21" s="8">
        <v>2</v>
      </c>
      <c r="D21" s="1218"/>
      <c r="E21" s="1218"/>
      <c r="F21" s="84"/>
      <c r="G21" s="85"/>
      <c r="H21" s="72"/>
    </row>
    <row r="22" spans="1:8" ht="25.5">
      <c r="A22" s="11" t="s">
        <v>114</v>
      </c>
      <c r="B22" s="87" t="s">
        <v>231</v>
      </c>
      <c r="C22" s="14">
        <v>5</v>
      </c>
      <c r="D22" s="1218"/>
      <c r="E22" s="1218"/>
      <c r="F22" s="84"/>
      <c r="G22" s="85"/>
      <c r="H22" s="72"/>
    </row>
    <row r="23" spans="1:8">
      <c r="A23" s="1222"/>
      <c r="B23" s="1223"/>
      <c r="C23" s="1224"/>
      <c r="D23" s="1224"/>
      <c r="E23" s="1224"/>
      <c r="F23" s="1224"/>
      <c r="G23" s="1225"/>
      <c r="H23" s="80"/>
    </row>
    <row r="24" spans="1:8" ht="13.5">
      <c r="A24" s="1226" t="s">
        <v>360</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14.13</v>
      </c>
      <c r="D26" s="1218"/>
      <c r="E26" s="1218"/>
      <c r="F26" s="84"/>
      <c r="G26" s="85"/>
      <c r="H26" s="72"/>
    </row>
    <row r="27" spans="1:8">
      <c r="A27" s="8" t="s">
        <v>3</v>
      </c>
      <c r="B27" s="12" t="s">
        <v>4</v>
      </c>
      <c r="C27" s="15">
        <v>13.13</v>
      </c>
      <c r="D27" s="1321" t="s">
        <v>450</v>
      </c>
      <c r="E27" s="1322"/>
      <c r="F27" s="84"/>
      <c r="G27" s="85"/>
      <c r="H27" s="72"/>
    </row>
    <row r="28" spans="1:8">
      <c r="A28" s="11" t="s">
        <v>5</v>
      </c>
      <c r="B28" s="12" t="s">
        <v>144</v>
      </c>
      <c r="C28" s="15">
        <v>1</v>
      </c>
      <c r="D28" s="1218"/>
      <c r="E28" s="1218"/>
      <c r="F28" s="84"/>
      <c r="G28" s="85"/>
      <c r="H28" s="72"/>
    </row>
    <row r="29" spans="1:8">
      <c r="A29" s="8" t="s">
        <v>145</v>
      </c>
      <c r="B29" s="12" t="s">
        <v>146</v>
      </c>
      <c r="C29" s="15">
        <v>0</v>
      </c>
      <c r="D29" s="1220"/>
      <c r="E29" s="1229"/>
      <c r="F29" s="174"/>
      <c r="G29" s="85"/>
      <c r="H29" s="72"/>
    </row>
    <row r="30" spans="1:8">
      <c r="A30" s="8" t="s">
        <v>244</v>
      </c>
      <c r="B30" s="12" t="s">
        <v>245</v>
      </c>
      <c r="C30" s="15">
        <v>0</v>
      </c>
      <c r="D30" s="88"/>
      <c r="E30" s="174"/>
      <c r="F30" s="174"/>
      <c r="G30" s="85"/>
      <c r="H30" s="72"/>
    </row>
    <row r="31" spans="1:8">
      <c r="A31" s="5">
        <v>3</v>
      </c>
      <c r="B31" s="7" t="s">
        <v>14</v>
      </c>
      <c r="C31" s="50">
        <v>18</v>
      </c>
      <c r="D31" s="1218"/>
      <c r="E31" s="1218"/>
      <c r="F31" s="84"/>
      <c r="G31" s="85"/>
      <c r="H31" s="72"/>
    </row>
    <row r="32" spans="1:8">
      <c r="A32" s="8" t="s">
        <v>6</v>
      </c>
      <c r="B32" s="12" t="s">
        <v>7</v>
      </c>
      <c r="C32" s="15">
        <v>13.5</v>
      </c>
      <c r="D32" s="1218"/>
      <c r="E32" s="1218"/>
      <c r="F32" s="84"/>
      <c r="G32" s="85"/>
      <c r="H32" s="72"/>
    </row>
    <row r="33" spans="1:8">
      <c r="A33" s="11" t="s">
        <v>12</v>
      </c>
      <c r="B33" s="12" t="s">
        <v>15</v>
      </c>
      <c r="C33" s="15">
        <v>2.5</v>
      </c>
      <c r="D33" s="1218" t="s">
        <v>451</v>
      </c>
      <c r="E33" s="1218"/>
      <c r="F33" s="84"/>
      <c r="G33" s="85"/>
      <c r="H33" s="72"/>
    </row>
    <row r="34" spans="1:8">
      <c r="A34" s="11" t="s">
        <v>13</v>
      </c>
      <c r="B34" s="12" t="s">
        <v>148</v>
      </c>
      <c r="C34" s="15">
        <v>2</v>
      </c>
      <c r="D34" s="1218" t="s">
        <v>452</v>
      </c>
      <c r="E34" s="1218"/>
      <c r="F34" s="84"/>
      <c r="G34" s="85"/>
      <c r="H34" s="72"/>
    </row>
    <row r="35" spans="1:8">
      <c r="A35" s="5">
        <v>4</v>
      </c>
      <c r="B35" s="16" t="s">
        <v>17</v>
      </c>
      <c r="C35" s="15">
        <v>0</v>
      </c>
      <c r="D35" s="1218"/>
      <c r="E35" s="1218"/>
      <c r="F35" s="84"/>
      <c r="G35" s="85"/>
      <c r="H35" s="72"/>
    </row>
    <row r="36" spans="1:8">
      <c r="A36" s="11" t="s">
        <v>16</v>
      </c>
      <c r="B36" s="12" t="s">
        <v>84</v>
      </c>
      <c r="C36" s="15">
        <v>0</v>
      </c>
      <c r="D36" s="1218"/>
      <c r="E36" s="1218"/>
      <c r="F36" s="84"/>
      <c r="G36" s="85"/>
      <c r="H36" s="72"/>
    </row>
    <row r="37" spans="1:8" ht="25.5">
      <c r="A37" s="5">
        <v>5</v>
      </c>
      <c r="B37" s="90" t="s">
        <v>26</v>
      </c>
      <c r="C37" s="15">
        <v>46</v>
      </c>
      <c r="D37" s="1218"/>
      <c r="E37" s="1218"/>
      <c r="F37" s="84"/>
      <c r="G37" s="85"/>
      <c r="H37" s="72"/>
    </row>
    <row r="38" spans="1:8">
      <c r="A38" s="17" t="s">
        <v>147</v>
      </c>
      <c r="B38" s="16" t="s">
        <v>150</v>
      </c>
      <c r="C38" s="15">
        <v>7.0000000000000007E-2</v>
      </c>
      <c r="D38" s="1219"/>
      <c r="E38" s="1219"/>
      <c r="F38" s="81"/>
      <c r="G38" s="85"/>
      <c r="H38" s="72"/>
    </row>
    <row r="39" spans="1:8">
      <c r="A39" s="5">
        <v>6</v>
      </c>
      <c r="B39" s="7" t="s">
        <v>85</v>
      </c>
      <c r="C39" s="50">
        <f>SUM(C26+C31+C35+C37)</f>
        <v>78.13</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93">
        <f>SUM(C45:C47)</f>
        <v>995612</v>
      </c>
      <c r="D44" s="1218"/>
      <c r="E44" s="1218"/>
      <c r="F44" s="84"/>
      <c r="G44" s="85"/>
      <c r="H44" s="72"/>
    </row>
    <row r="45" spans="1:8">
      <c r="A45" s="8" t="s">
        <v>11</v>
      </c>
      <c r="B45" s="12" t="s">
        <v>19</v>
      </c>
      <c r="C45" s="55">
        <v>970446</v>
      </c>
      <c r="D45" s="1218"/>
      <c r="E45" s="1218"/>
      <c r="F45" s="84"/>
      <c r="G45" s="85"/>
      <c r="H45" s="72"/>
    </row>
    <row r="46" spans="1:8">
      <c r="A46" s="11" t="s">
        <v>18</v>
      </c>
      <c r="B46" s="12" t="s">
        <v>151</v>
      </c>
      <c r="C46" s="55">
        <v>25166</v>
      </c>
      <c r="D46" s="1218" t="s">
        <v>453</v>
      </c>
      <c r="E46" s="1218"/>
      <c r="F46" s="84"/>
      <c r="G46" s="85"/>
      <c r="H46" s="72"/>
    </row>
    <row r="47" spans="1:8">
      <c r="A47" s="8" t="s">
        <v>247</v>
      </c>
      <c r="B47" s="12" t="s">
        <v>248</v>
      </c>
      <c r="C47" s="59">
        <v>0</v>
      </c>
      <c r="D47" s="84"/>
      <c r="E47" s="84"/>
      <c r="F47" s="84"/>
      <c r="G47" s="85"/>
      <c r="H47" s="72"/>
    </row>
    <row r="48" spans="1:8">
      <c r="A48" s="5">
        <v>8</v>
      </c>
      <c r="B48" s="7" t="s">
        <v>109</v>
      </c>
      <c r="C48" s="93">
        <f>SUM(C49:C51)</f>
        <v>779984</v>
      </c>
      <c r="D48" s="1218"/>
      <c r="E48" s="1218"/>
      <c r="F48" s="84"/>
      <c r="G48" s="85"/>
      <c r="H48" s="72"/>
    </row>
    <row r="49" spans="1:8">
      <c r="A49" s="19" t="s">
        <v>20</v>
      </c>
      <c r="B49" s="20" t="s">
        <v>23</v>
      </c>
      <c r="C49" s="55">
        <v>561003</v>
      </c>
      <c r="D49" s="1218"/>
      <c r="E49" s="1218"/>
      <c r="F49" s="84"/>
      <c r="G49" s="85"/>
      <c r="H49" s="72"/>
    </row>
    <row r="50" spans="1:8">
      <c r="A50" s="11" t="s">
        <v>21</v>
      </c>
      <c r="B50" s="12" t="s">
        <v>24</v>
      </c>
      <c r="C50" s="55">
        <v>105113</v>
      </c>
      <c r="D50" s="1218" t="s">
        <v>451</v>
      </c>
      <c r="E50" s="1218"/>
      <c r="F50" s="84"/>
      <c r="G50" s="85"/>
      <c r="H50" s="72"/>
    </row>
    <row r="51" spans="1:8">
      <c r="A51" s="11" t="s">
        <v>22</v>
      </c>
      <c r="B51" s="12" t="s">
        <v>25</v>
      </c>
      <c r="C51" s="55">
        <v>113868</v>
      </c>
      <c r="D51" s="1218" t="s">
        <v>454</v>
      </c>
      <c r="E51" s="1218"/>
      <c r="F51" s="84"/>
      <c r="G51" s="85"/>
      <c r="H51" s="72"/>
    </row>
    <row r="52" spans="1:8" ht="25.5">
      <c r="A52" s="21">
        <v>9</v>
      </c>
      <c r="B52" s="22" t="s">
        <v>27</v>
      </c>
      <c r="C52" s="56">
        <v>209899</v>
      </c>
      <c r="D52" s="1218" t="s">
        <v>455</v>
      </c>
      <c r="E52" s="1218"/>
      <c r="F52" s="84"/>
      <c r="G52" s="85"/>
      <c r="H52" s="72"/>
    </row>
    <row r="53" spans="1:8">
      <c r="A53" s="21">
        <v>10</v>
      </c>
      <c r="B53" s="22" t="s">
        <v>249</v>
      </c>
      <c r="C53" s="56">
        <f>SUM(C44+C48+C52)</f>
        <v>1985495</v>
      </c>
      <c r="D53" s="88"/>
      <c r="E53" s="94"/>
      <c r="F53" s="94"/>
      <c r="G53" s="85"/>
      <c r="H53" s="72"/>
    </row>
    <row r="54" spans="1:8">
      <c r="A54" s="21"/>
      <c r="B54" s="22"/>
      <c r="C54" s="55"/>
      <c r="D54" s="1220"/>
      <c r="E54" s="1221"/>
      <c r="F54" s="94"/>
      <c r="G54" s="85"/>
      <c r="H54" s="72"/>
    </row>
    <row r="55" spans="1:8">
      <c r="A55" s="95"/>
      <c r="B55" s="92" t="s">
        <v>250</v>
      </c>
      <c r="C55" s="96"/>
      <c r="D55" s="1219"/>
      <c r="E55" s="1218"/>
      <c r="F55" s="84"/>
      <c r="G55" s="85"/>
      <c r="H55" s="72"/>
    </row>
    <row r="56" spans="1:8" ht="25.5">
      <c r="A56" s="97">
        <v>11</v>
      </c>
      <c r="B56" s="98" t="s">
        <v>251</v>
      </c>
      <c r="C56" s="99">
        <f>SUM(C57:C59)</f>
        <v>78967</v>
      </c>
      <c r="D56" s="1218"/>
      <c r="E56" s="1218"/>
      <c r="F56" s="84"/>
      <c r="G56" s="85"/>
      <c r="H56" s="72"/>
    </row>
    <row r="57" spans="1:8">
      <c r="A57" s="100" t="s">
        <v>30</v>
      </c>
      <c r="B57" s="101" t="s">
        <v>28</v>
      </c>
      <c r="C57" s="55">
        <v>78967</v>
      </c>
      <c r="D57" s="1218" t="s">
        <v>456</v>
      </c>
      <c r="E57" s="1218"/>
      <c r="F57" s="84"/>
      <c r="G57" s="85"/>
      <c r="H57" s="72"/>
    </row>
    <row r="58" spans="1:8">
      <c r="A58" s="100" t="s">
        <v>32</v>
      </c>
      <c r="B58" s="101" t="s">
        <v>363</v>
      </c>
      <c r="C58" s="55" t="s">
        <v>378</v>
      </c>
      <c r="D58" s="1218"/>
      <c r="E58" s="1218"/>
      <c r="F58" s="84"/>
      <c r="G58" s="85"/>
      <c r="H58" s="72"/>
    </row>
    <row r="59" spans="1:8">
      <c r="A59" s="100" t="s">
        <v>34</v>
      </c>
      <c r="B59" s="101" t="s">
        <v>29</v>
      </c>
      <c r="C59" s="55" t="s">
        <v>378</v>
      </c>
      <c r="D59" s="1218"/>
      <c r="E59" s="1218"/>
      <c r="F59" s="84"/>
      <c r="G59" s="85"/>
      <c r="H59" s="72"/>
    </row>
    <row r="60" spans="1:8" ht="38.25">
      <c r="A60" s="97">
        <v>12</v>
      </c>
      <c r="B60" s="98" t="s">
        <v>252</v>
      </c>
      <c r="C60" s="57">
        <v>864455</v>
      </c>
      <c r="D60" s="1218"/>
      <c r="E60" s="1218"/>
      <c r="F60" s="84"/>
      <c r="G60" s="85"/>
      <c r="H60" s="72"/>
    </row>
    <row r="61" spans="1:8">
      <c r="A61" s="100" t="s">
        <v>36</v>
      </c>
      <c r="B61" s="101" t="s">
        <v>31</v>
      </c>
      <c r="C61" s="55">
        <v>368230</v>
      </c>
      <c r="D61" s="1218" t="s">
        <v>457</v>
      </c>
      <c r="E61" s="1218"/>
      <c r="F61" s="84"/>
      <c r="G61" s="85"/>
      <c r="H61" s="72"/>
    </row>
    <row r="62" spans="1:8">
      <c r="A62" s="100" t="s">
        <v>38</v>
      </c>
      <c r="B62" s="101" t="s">
        <v>206</v>
      </c>
      <c r="C62" s="55">
        <v>321423</v>
      </c>
      <c r="D62" s="1218" t="s">
        <v>76</v>
      </c>
      <c r="E62" s="1218"/>
      <c r="F62" s="84"/>
      <c r="G62" s="85"/>
      <c r="H62" s="72"/>
    </row>
    <row r="63" spans="1:8">
      <c r="A63" s="100" t="s">
        <v>253</v>
      </c>
      <c r="B63" s="101" t="s">
        <v>33</v>
      </c>
      <c r="C63" s="55">
        <v>169008</v>
      </c>
      <c r="D63" s="1218" t="s">
        <v>458</v>
      </c>
      <c r="E63" s="1218"/>
      <c r="F63" s="84"/>
      <c r="G63" s="85"/>
      <c r="H63" s="72"/>
    </row>
    <row r="64" spans="1:8">
      <c r="A64" s="100" t="s">
        <v>39</v>
      </c>
      <c r="B64" s="101" t="s">
        <v>35</v>
      </c>
      <c r="C64" s="55">
        <v>5794</v>
      </c>
      <c r="D64" s="1218" t="s">
        <v>459</v>
      </c>
      <c r="E64" s="1218"/>
      <c r="F64" s="84"/>
      <c r="G64" s="85"/>
      <c r="H64" s="72"/>
    </row>
    <row r="65" spans="1:8">
      <c r="A65" s="102" t="s">
        <v>254</v>
      </c>
      <c r="B65" s="101" t="s">
        <v>153</v>
      </c>
      <c r="C65" s="55" t="s">
        <v>380</v>
      </c>
      <c r="D65" s="1218"/>
      <c r="E65" s="1218"/>
      <c r="F65" s="84"/>
      <c r="G65" s="85"/>
      <c r="H65" s="72"/>
    </row>
    <row r="66" spans="1:8">
      <c r="A66" s="102" t="s">
        <v>255</v>
      </c>
      <c r="B66" s="103" t="s">
        <v>216</v>
      </c>
      <c r="C66" s="55" t="s">
        <v>380</v>
      </c>
      <c r="D66" s="1218"/>
      <c r="E66" s="1218"/>
      <c r="F66" s="84"/>
      <c r="G66" s="85"/>
      <c r="H66" s="72"/>
    </row>
    <row r="67" spans="1:8">
      <c r="A67" s="97">
        <v>13</v>
      </c>
      <c r="B67" s="104" t="s">
        <v>256</v>
      </c>
      <c r="C67" s="57">
        <f>SUM(C68:C69)</f>
        <v>6296</v>
      </c>
      <c r="D67" s="1218"/>
      <c r="E67" s="1218"/>
      <c r="F67" s="84"/>
      <c r="G67" s="85"/>
      <c r="H67" s="72"/>
    </row>
    <row r="68" spans="1:8">
      <c r="A68" s="100" t="s">
        <v>156</v>
      </c>
      <c r="B68" s="103" t="s">
        <v>40</v>
      </c>
      <c r="C68" s="55">
        <v>0</v>
      </c>
      <c r="D68" s="1218"/>
      <c r="E68" s="1218"/>
      <c r="F68" s="84"/>
      <c r="G68" s="85"/>
      <c r="H68" s="72"/>
    </row>
    <row r="69" spans="1:8">
      <c r="A69" s="100" t="s">
        <v>157</v>
      </c>
      <c r="B69" s="103" t="s">
        <v>41</v>
      </c>
      <c r="C69" s="55">
        <v>6296</v>
      </c>
      <c r="D69" s="1218"/>
      <c r="E69" s="1218"/>
      <c r="F69" s="84"/>
      <c r="G69" s="85"/>
      <c r="H69" s="72"/>
    </row>
    <row r="70" spans="1:8">
      <c r="A70" s="95">
        <v>14</v>
      </c>
      <c r="B70" s="82" t="s">
        <v>257</v>
      </c>
      <c r="C70" s="57">
        <v>0</v>
      </c>
      <c r="D70" s="1218"/>
      <c r="E70" s="1218"/>
      <c r="F70" s="84"/>
      <c r="G70" s="85"/>
      <c r="H70" s="72"/>
    </row>
    <row r="71" spans="1:8">
      <c r="A71" s="105" t="s">
        <v>42</v>
      </c>
      <c r="B71" s="106" t="s">
        <v>155</v>
      </c>
      <c r="C71" s="55">
        <v>0</v>
      </c>
      <c r="D71" s="1219"/>
      <c r="E71" s="1219"/>
      <c r="F71" s="81"/>
      <c r="G71" s="85"/>
      <c r="H71" s="72"/>
    </row>
    <row r="72" spans="1:8">
      <c r="A72" s="105" t="s">
        <v>43</v>
      </c>
      <c r="B72" s="107" t="s">
        <v>258</v>
      </c>
      <c r="C72" s="55">
        <v>0</v>
      </c>
      <c r="D72" s="81"/>
      <c r="E72" s="81"/>
      <c r="F72" s="81"/>
      <c r="G72" s="85"/>
      <c r="H72" s="72"/>
    </row>
    <row r="73" spans="1:8">
      <c r="A73" s="105" t="s">
        <v>45</v>
      </c>
      <c r="B73" s="108" t="s">
        <v>44</v>
      </c>
      <c r="C73" s="55">
        <v>0</v>
      </c>
      <c r="D73" s="1218"/>
      <c r="E73" s="1218"/>
      <c r="F73" s="84"/>
      <c r="G73" s="85"/>
      <c r="H73" s="72"/>
    </row>
    <row r="74" spans="1:8">
      <c r="A74" s="105" t="s">
        <v>154</v>
      </c>
      <c r="B74" s="108" t="s">
        <v>46</v>
      </c>
      <c r="C74" s="55">
        <v>0</v>
      </c>
      <c r="D74" s="1218"/>
      <c r="E74" s="1218"/>
      <c r="F74" s="84"/>
      <c r="G74" s="85"/>
      <c r="H74" s="72"/>
    </row>
    <row r="75" spans="1:8">
      <c r="A75" s="109" t="s">
        <v>259</v>
      </c>
      <c r="B75" s="108" t="s">
        <v>104</v>
      </c>
      <c r="C75" s="55">
        <v>0</v>
      </c>
      <c r="D75" s="1218"/>
      <c r="E75" s="1218"/>
      <c r="F75" s="84"/>
      <c r="G75" s="85"/>
      <c r="H75" s="72"/>
    </row>
    <row r="76" spans="1:8">
      <c r="A76" s="110">
        <v>15</v>
      </c>
      <c r="B76" s="82" t="s">
        <v>260</v>
      </c>
      <c r="C76" s="58">
        <v>949718</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c r="A80" s="95">
        <v>16</v>
      </c>
      <c r="B80" s="112" t="s">
        <v>262</v>
      </c>
      <c r="C80" s="59">
        <f>SUM(C81:C85)</f>
        <v>39539</v>
      </c>
      <c r="D80" s="84"/>
      <c r="E80" s="84"/>
      <c r="F80" s="84"/>
      <c r="G80" s="85"/>
      <c r="H80" s="72"/>
    </row>
    <row r="81" spans="1:8">
      <c r="A81" s="109" t="s">
        <v>263</v>
      </c>
      <c r="B81" s="85" t="s">
        <v>264</v>
      </c>
      <c r="C81" s="55">
        <v>24400</v>
      </c>
      <c r="D81" s="84"/>
      <c r="E81" s="84"/>
      <c r="F81" s="84"/>
      <c r="G81" s="85"/>
      <c r="H81" s="72"/>
    </row>
    <row r="82" spans="1:8" ht="25.5">
      <c r="A82" s="109" t="s">
        <v>192</v>
      </c>
      <c r="B82" s="113" t="s">
        <v>207</v>
      </c>
      <c r="C82" s="55">
        <v>8641</v>
      </c>
      <c r="D82" s="84"/>
      <c r="E82" s="84"/>
      <c r="F82" s="84"/>
      <c r="G82" s="85"/>
      <c r="H82" s="72"/>
    </row>
    <row r="83" spans="1:8">
      <c r="A83" s="109" t="s">
        <v>193</v>
      </c>
      <c r="B83" s="85" t="s">
        <v>158</v>
      </c>
      <c r="C83" s="55" t="s">
        <v>380</v>
      </c>
      <c r="D83" s="84"/>
      <c r="E83" s="84"/>
      <c r="F83" s="84"/>
      <c r="G83" s="85"/>
      <c r="H83" s="72"/>
    </row>
    <row r="84" spans="1:8">
      <c r="A84" s="109" t="s">
        <v>265</v>
      </c>
      <c r="B84" s="85" t="s">
        <v>159</v>
      </c>
      <c r="C84" s="55" t="s">
        <v>380</v>
      </c>
      <c r="D84" s="84"/>
      <c r="E84" s="84"/>
      <c r="F84" s="84"/>
      <c r="G84" s="85"/>
      <c r="H84" s="72"/>
    </row>
    <row r="85" spans="1:8">
      <c r="A85" s="109" t="s">
        <v>266</v>
      </c>
      <c r="B85" s="85" t="s">
        <v>160</v>
      </c>
      <c r="C85" s="55">
        <v>6498</v>
      </c>
      <c r="D85" s="1220" t="s">
        <v>460</v>
      </c>
      <c r="E85" s="1320"/>
      <c r="F85" s="84"/>
      <c r="G85" s="85"/>
      <c r="H85" s="72"/>
    </row>
    <row r="86" spans="1:8">
      <c r="A86" s="110">
        <v>17</v>
      </c>
      <c r="B86" s="111" t="s">
        <v>191</v>
      </c>
      <c r="C86" s="59"/>
      <c r="D86" s="1218"/>
      <c r="E86" s="1218"/>
      <c r="F86" s="84"/>
      <c r="G86" s="82"/>
      <c r="H86" s="83"/>
    </row>
    <row r="87" spans="1:8">
      <c r="A87" s="110">
        <v>18</v>
      </c>
      <c r="B87" s="82" t="s">
        <v>267</v>
      </c>
      <c r="C87" s="57">
        <f>SUM(C88:C90)</f>
        <v>5666</v>
      </c>
      <c r="D87" s="1218"/>
      <c r="E87" s="1218"/>
      <c r="F87" s="84"/>
      <c r="G87" s="85"/>
      <c r="H87" s="72"/>
    </row>
    <row r="88" spans="1:8">
      <c r="A88" s="105" t="s">
        <v>268</v>
      </c>
      <c r="B88" s="114" t="s">
        <v>47</v>
      </c>
      <c r="C88" s="55" t="s">
        <v>380</v>
      </c>
      <c r="D88" s="1218"/>
      <c r="E88" s="1218"/>
      <c r="F88" s="84"/>
      <c r="G88" s="85"/>
      <c r="H88" s="72"/>
    </row>
    <row r="89" spans="1:8">
      <c r="A89" s="105" t="s">
        <v>269</v>
      </c>
      <c r="B89" s="114" t="s">
        <v>48</v>
      </c>
      <c r="C89" s="55">
        <v>5666</v>
      </c>
      <c r="D89" s="1218" t="s">
        <v>461</v>
      </c>
      <c r="E89" s="1218"/>
      <c r="F89" s="84"/>
      <c r="G89" s="85"/>
      <c r="H89" s="72"/>
    </row>
    <row r="90" spans="1:8">
      <c r="A90" s="105" t="s">
        <v>270</v>
      </c>
      <c r="B90" s="114" t="s">
        <v>105</v>
      </c>
      <c r="C90" s="96" t="s">
        <v>380</v>
      </c>
      <c r="D90" s="1218"/>
      <c r="E90" s="1218"/>
      <c r="F90" s="84"/>
      <c r="G90" s="85"/>
      <c r="H90" s="72"/>
    </row>
    <row r="91" spans="1:8">
      <c r="A91" s="110">
        <v>19</v>
      </c>
      <c r="B91" s="85" t="s">
        <v>205</v>
      </c>
      <c r="C91" s="96" t="s">
        <v>462</v>
      </c>
      <c r="D91" s="1218"/>
      <c r="E91" s="1218"/>
      <c r="F91" s="84"/>
      <c r="G91" s="85"/>
      <c r="H91" s="72"/>
    </row>
    <row r="92" spans="1:8" ht="38.25">
      <c r="A92" s="110">
        <v>20</v>
      </c>
      <c r="B92" s="113" t="s">
        <v>106</v>
      </c>
      <c r="C92" s="96">
        <v>74868</v>
      </c>
      <c r="D92" s="1218" t="s">
        <v>463</v>
      </c>
      <c r="E92" s="1218"/>
      <c r="F92" s="84"/>
      <c r="G92" s="85"/>
      <c r="H92" s="72"/>
    </row>
    <row r="93" spans="1:8">
      <c r="A93" s="110">
        <v>21</v>
      </c>
      <c r="B93" s="85" t="s">
        <v>103</v>
      </c>
      <c r="C93" s="96">
        <v>23017</v>
      </c>
      <c r="D93" s="1218" t="s">
        <v>464</v>
      </c>
      <c r="E93" s="1218"/>
      <c r="F93" s="84"/>
      <c r="G93" s="85"/>
      <c r="H93" s="72"/>
    </row>
    <row r="94" spans="1:8" ht="25.5">
      <c r="A94" s="110">
        <v>22</v>
      </c>
      <c r="B94" s="113" t="s">
        <v>107</v>
      </c>
      <c r="C94" s="115">
        <v>14956</v>
      </c>
      <c r="D94" s="1218" t="s">
        <v>465</v>
      </c>
      <c r="E94" s="1218"/>
      <c r="F94" s="116"/>
      <c r="G94" s="117"/>
      <c r="H94" s="80"/>
    </row>
    <row r="95" spans="1:8" ht="25.5">
      <c r="A95" s="110">
        <v>23</v>
      </c>
      <c r="B95" s="113" t="s">
        <v>271</v>
      </c>
      <c r="C95" s="118">
        <f>SUM(C53,C76,C80,C86,C87,C91,C92,C93,C94)</f>
        <v>3093259</v>
      </c>
      <c r="D95" s="1218"/>
      <c r="E95" s="1218"/>
      <c r="F95" s="84"/>
      <c r="G95" s="85"/>
      <c r="H95" s="72"/>
    </row>
    <row r="96" spans="1:8">
      <c r="A96" s="109" t="s">
        <v>108</v>
      </c>
      <c r="B96" s="114" t="s">
        <v>49</v>
      </c>
      <c r="C96" s="96"/>
      <c r="D96" s="1218"/>
      <c r="E96" s="1218"/>
      <c r="F96" s="84"/>
      <c r="G96" s="85"/>
      <c r="H96" s="72"/>
    </row>
    <row r="97" spans="1:8" ht="15">
      <c r="A97" s="110">
        <v>24</v>
      </c>
      <c r="B97" s="85" t="s">
        <v>272</v>
      </c>
      <c r="C97" s="119">
        <f>SUM(C95,C96)</f>
        <v>3093259</v>
      </c>
      <c r="D97" s="1218"/>
      <c r="E97" s="1218"/>
      <c r="F97" s="84"/>
      <c r="G97" s="85"/>
      <c r="H97" s="72"/>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2757</v>
      </c>
      <c r="D103" s="51">
        <f>SUM(D104,D107:D110)</f>
        <v>13870</v>
      </c>
      <c r="E103" s="34">
        <v>967086</v>
      </c>
      <c r="F103" s="34"/>
      <c r="G103" s="10"/>
      <c r="H103" s="3"/>
    </row>
    <row r="104" spans="1:8">
      <c r="A104" s="25" t="s">
        <v>91</v>
      </c>
      <c r="B104" s="13" t="s">
        <v>53</v>
      </c>
      <c r="C104" s="51">
        <v>2405</v>
      </c>
      <c r="D104" s="51">
        <f>SUM(D105:D106)</f>
        <v>11173</v>
      </c>
      <c r="E104" s="34">
        <v>793314</v>
      </c>
      <c r="F104" s="34"/>
      <c r="G104" s="10" t="s">
        <v>466</v>
      </c>
      <c r="H104" s="3"/>
    </row>
    <row r="105" spans="1:8">
      <c r="A105" s="25" t="s">
        <v>194</v>
      </c>
      <c r="B105" s="35" t="s">
        <v>54</v>
      </c>
      <c r="C105" s="34">
        <v>1892</v>
      </c>
      <c r="D105" s="25">
        <v>11173</v>
      </c>
      <c r="E105" s="34" t="s">
        <v>201</v>
      </c>
      <c r="F105" s="34"/>
      <c r="G105" s="10" t="s">
        <v>467</v>
      </c>
      <c r="H105" s="3"/>
    </row>
    <row r="106" spans="1:8">
      <c r="A106" s="25" t="s">
        <v>195</v>
      </c>
      <c r="B106" s="35" t="s">
        <v>55</v>
      </c>
      <c r="C106" s="34">
        <v>513</v>
      </c>
      <c r="D106" s="25" t="s">
        <v>378</v>
      </c>
      <c r="E106" s="34" t="s">
        <v>201</v>
      </c>
      <c r="F106" s="34"/>
      <c r="G106" s="10" t="s">
        <v>468</v>
      </c>
      <c r="H106" s="3"/>
    </row>
    <row r="107" spans="1:8">
      <c r="A107" s="25" t="s">
        <v>93</v>
      </c>
      <c r="B107" s="13" t="s">
        <v>56</v>
      </c>
      <c r="C107" s="34">
        <v>234</v>
      </c>
      <c r="D107" s="34">
        <v>1284</v>
      </c>
      <c r="E107" s="34">
        <v>98056</v>
      </c>
      <c r="F107" s="34"/>
      <c r="G107" s="10"/>
      <c r="H107" s="3"/>
    </row>
    <row r="108" spans="1:8">
      <c r="A108" s="25" t="s">
        <v>275</v>
      </c>
      <c r="B108" s="13" t="s">
        <v>57</v>
      </c>
      <c r="C108" s="34">
        <v>43</v>
      </c>
      <c r="D108" s="34">
        <v>15</v>
      </c>
      <c r="E108" s="34">
        <v>16603</v>
      </c>
      <c r="F108" s="34"/>
      <c r="G108" s="10"/>
      <c r="H108" s="3"/>
    </row>
    <row r="109" spans="1:8">
      <c r="A109" s="25" t="s">
        <v>276</v>
      </c>
      <c r="B109" s="13" t="s">
        <v>58</v>
      </c>
      <c r="C109" s="34">
        <v>0</v>
      </c>
      <c r="D109" s="34">
        <v>0</v>
      </c>
      <c r="E109" s="34">
        <v>0</v>
      </c>
      <c r="F109" s="34"/>
      <c r="G109" s="10"/>
      <c r="H109" s="3"/>
    </row>
    <row r="110" spans="1:8">
      <c r="A110" s="27" t="s">
        <v>277</v>
      </c>
      <c r="B110" s="13" t="s">
        <v>139</v>
      </c>
      <c r="C110" s="52">
        <v>75</v>
      </c>
      <c r="D110" s="51">
        <v>1398</v>
      </c>
      <c r="E110" s="34">
        <v>59113</v>
      </c>
      <c r="F110" s="34"/>
      <c r="G110" s="10"/>
      <c r="H110" s="3"/>
    </row>
    <row r="111" spans="1:8">
      <c r="A111" s="30">
        <v>26</v>
      </c>
      <c r="B111" s="18" t="s">
        <v>278</v>
      </c>
      <c r="C111" s="34">
        <f>SUM(C112,C113)</f>
        <v>9816</v>
      </c>
      <c r="D111" s="34">
        <v>1560</v>
      </c>
      <c r="E111" s="34">
        <v>87625</v>
      </c>
      <c r="F111" s="34"/>
      <c r="G111" s="10" t="s">
        <v>469</v>
      </c>
      <c r="H111" s="3"/>
    </row>
    <row r="112" spans="1:8">
      <c r="A112" s="25" t="s">
        <v>92</v>
      </c>
      <c r="B112" s="13" t="s">
        <v>59</v>
      </c>
      <c r="C112" s="34">
        <v>8485</v>
      </c>
      <c r="D112" s="34">
        <v>1560</v>
      </c>
      <c r="E112" s="34">
        <v>53463</v>
      </c>
      <c r="F112" s="34"/>
      <c r="G112" s="10"/>
      <c r="H112" s="3"/>
    </row>
    <row r="113" spans="1:8">
      <c r="A113" s="27" t="s">
        <v>94</v>
      </c>
      <c r="B113" s="13" t="s">
        <v>164</v>
      </c>
      <c r="C113" s="34">
        <v>1331</v>
      </c>
      <c r="D113" s="34">
        <v>0</v>
      </c>
      <c r="E113" s="34">
        <v>34162</v>
      </c>
      <c r="F113" s="34"/>
      <c r="G113" s="10"/>
      <c r="H113" s="3"/>
    </row>
    <row r="114" spans="1:8">
      <c r="A114" s="25"/>
      <c r="B114" s="13"/>
      <c r="C114" s="34"/>
      <c r="D114" s="34"/>
      <c r="E114" s="34"/>
      <c r="F114" s="34"/>
      <c r="G114" s="10"/>
      <c r="H114" s="3"/>
    </row>
    <row r="115" spans="1:8" ht="38.25">
      <c r="A115" s="36">
        <v>27</v>
      </c>
      <c r="B115" s="33" t="s">
        <v>279</v>
      </c>
      <c r="C115" s="51">
        <v>10494</v>
      </c>
      <c r="D115" s="51">
        <f>SUM(D116+D119)</f>
        <v>0</v>
      </c>
      <c r="E115" s="34"/>
      <c r="F115" s="34"/>
      <c r="G115" s="10"/>
      <c r="H115" s="3"/>
    </row>
    <row r="116" spans="1:8" ht="25.5">
      <c r="A116" s="30" t="s">
        <v>196</v>
      </c>
      <c r="B116" s="126" t="s">
        <v>280</v>
      </c>
      <c r="C116" s="52">
        <v>10443</v>
      </c>
      <c r="D116" s="52">
        <f>SUM(D117:D118)</f>
        <v>0</v>
      </c>
      <c r="E116" s="25"/>
      <c r="F116" s="25"/>
      <c r="G116" s="10"/>
      <c r="H116" s="3"/>
    </row>
    <row r="117" spans="1:8">
      <c r="A117" s="25" t="s">
        <v>281</v>
      </c>
      <c r="B117" s="35" t="s">
        <v>124</v>
      </c>
      <c r="C117" s="25">
        <v>858</v>
      </c>
      <c r="D117" s="25"/>
      <c r="E117" s="25"/>
      <c r="F117" s="25"/>
      <c r="G117" s="10"/>
      <c r="H117" s="3"/>
    </row>
    <row r="118" spans="1:8">
      <c r="A118" s="25" t="s">
        <v>282</v>
      </c>
      <c r="B118" s="35" t="s">
        <v>125</v>
      </c>
      <c r="C118" s="25">
        <v>9585</v>
      </c>
      <c r="D118" s="25" t="s">
        <v>380</v>
      </c>
      <c r="E118" s="25">
        <v>63077</v>
      </c>
      <c r="F118" s="25"/>
      <c r="G118" s="10" t="s">
        <v>470</v>
      </c>
      <c r="H118" s="3"/>
    </row>
    <row r="119" spans="1:8" ht="25.5">
      <c r="A119" s="30" t="s">
        <v>283</v>
      </c>
      <c r="B119" s="126" t="s">
        <v>284</v>
      </c>
      <c r="C119" s="52">
        <f>SUM(C120:C122)</f>
        <v>51</v>
      </c>
      <c r="D119" s="52">
        <f>SUM(D120:D122)</f>
        <v>0</v>
      </c>
      <c r="E119" s="25">
        <v>2500</v>
      </c>
      <c r="F119" s="25"/>
      <c r="G119" s="10"/>
      <c r="H119" s="3"/>
    </row>
    <row r="120" spans="1:8">
      <c r="A120" s="25" t="s">
        <v>285</v>
      </c>
      <c r="B120" s="35" t="s">
        <v>126</v>
      </c>
      <c r="C120" s="25">
        <v>0</v>
      </c>
      <c r="D120" s="25">
        <v>0</v>
      </c>
      <c r="E120" s="25">
        <v>0</v>
      </c>
      <c r="F120" s="25"/>
      <c r="G120" s="10"/>
      <c r="H120" s="3"/>
    </row>
    <row r="121" spans="1:8">
      <c r="A121" s="27" t="s">
        <v>286</v>
      </c>
      <c r="B121" s="35" t="s">
        <v>287</v>
      </c>
      <c r="C121" s="25" t="s">
        <v>380</v>
      </c>
      <c r="D121" s="25" t="s">
        <v>380</v>
      </c>
      <c r="E121" s="25" t="s">
        <v>380</v>
      </c>
      <c r="F121" s="25"/>
      <c r="G121" s="10"/>
      <c r="H121" s="3"/>
    </row>
    <row r="122" spans="1:8">
      <c r="A122" s="25" t="s">
        <v>288</v>
      </c>
      <c r="B122" s="35" t="s">
        <v>218</v>
      </c>
      <c r="C122" s="25">
        <v>51</v>
      </c>
      <c r="D122" s="25" t="s">
        <v>380</v>
      </c>
      <c r="E122" s="25">
        <v>2500</v>
      </c>
      <c r="F122" s="25"/>
      <c r="G122" s="10"/>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280</v>
      </c>
      <c r="D125" s="52">
        <f>SUM(D126:D127)</f>
        <v>15</v>
      </c>
      <c r="E125" s="25">
        <v>31320</v>
      </c>
      <c r="F125" s="25"/>
      <c r="G125" s="10"/>
      <c r="H125" s="3"/>
    </row>
    <row r="126" spans="1:8">
      <c r="A126" s="25" t="s">
        <v>127</v>
      </c>
      <c r="B126" s="24" t="s">
        <v>471</v>
      </c>
      <c r="C126" s="25">
        <v>14</v>
      </c>
      <c r="D126" s="25">
        <v>3</v>
      </c>
      <c r="E126" s="25">
        <v>24446</v>
      </c>
      <c r="F126" s="25"/>
      <c r="G126" s="10"/>
      <c r="H126" s="3"/>
    </row>
    <row r="127" spans="1:8">
      <c r="A127" s="25" t="s">
        <v>129</v>
      </c>
      <c r="B127" s="24" t="s">
        <v>472</v>
      </c>
      <c r="C127" s="25">
        <v>266</v>
      </c>
      <c r="D127" s="25">
        <v>12</v>
      </c>
      <c r="E127" s="25">
        <v>6874</v>
      </c>
      <c r="F127" s="25"/>
      <c r="G127" s="10"/>
      <c r="H127" s="3"/>
    </row>
    <row r="128" spans="1:8">
      <c r="A128" s="25"/>
      <c r="C128" s="25"/>
      <c r="D128" s="25"/>
      <c r="E128" s="25"/>
      <c r="F128" s="25"/>
      <c r="G128" s="10"/>
      <c r="H128" s="3"/>
    </row>
    <row r="129" spans="1:8">
      <c r="A129" s="30">
        <v>29</v>
      </c>
      <c r="B129" s="6" t="s">
        <v>290</v>
      </c>
      <c r="C129" s="25"/>
      <c r="D129" s="25"/>
      <c r="E129" s="25"/>
      <c r="F129" s="25"/>
      <c r="G129" s="10"/>
      <c r="H129" s="3"/>
    </row>
    <row r="130" spans="1:8">
      <c r="A130" s="30" t="s">
        <v>165</v>
      </c>
      <c r="B130" s="6" t="s">
        <v>37</v>
      </c>
      <c r="C130" s="25">
        <v>0</v>
      </c>
      <c r="D130" s="25">
        <v>0</v>
      </c>
      <c r="E130" s="25">
        <v>365</v>
      </c>
      <c r="F130" s="25"/>
      <c r="G130" s="10"/>
      <c r="H130" s="3"/>
    </row>
    <row r="131" spans="1:8">
      <c r="A131" s="30" t="s">
        <v>166</v>
      </c>
      <c r="B131" s="6" t="s">
        <v>79</v>
      </c>
      <c r="C131" s="25">
        <v>15</v>
      </c>
      <c r="D131" s="25">
        <v>0</v>
      </c>
      <c r="E131" s="25">
        <v>29</v>
      </c>
      <c r="F131" s="25"/>
      <c r="G131" s="10"/>
      <c r="H131" s="3"/>
    </row>
    <row r="132" spans="1:8">
      <c r="A132" s="30" t="s">
        <v>291</v>
      </c>
      <c r="B132" s="29" t="s">
        <v>222</v>
      </c>
      <c r="C132" s="30">
        <v>114</v>
      </c>
      <c r="D132" s="30" t="s">
        <v>473</v>
      </c>
      <c r="E132" s="30">
        <v>1024</v>
      </c>
      <c r="F132" s="30"/>
      <c r="G132" s="6"/>
      <c r="H132" s="122"/>
    </row>
    <row r="133" spans="1:8">
      <c r="A133" s="30" t="s">
        <v>292</v>
      </c>
      <c r="B133" s="29" t="s">
        <v>293</v>
      </c>
      <c r="C133" s="30">
        <v>0</v>
      </c>
      <c r="D133" s="30">
        <v>11012</v>
      </c>
      <c r="E133" s="30">
        <v>860853</v>
      </c>
      <c r="F133" s="30"/>
      <c r="G133" s="6"/>
      <c r="H133" s="122"/>
    </row>
    <row r="134" spans="1:8">
      <c r="A134" s="30" t="s">
        <v>294</v>
      </c>
      <c r="B134" s="29" t="s">
        <v>223</v>
      </c>
      <c r="C134" s="30">
        <v>0</v>
      </c>
      <c r="D134" s="30">
        <v>11012</v>
      </c>
      <c r="E134" s="30">
        <v>860853</v>
      </c>
      <c r="F134" s="30"/>
      <c r="G134" s="6"/>
      <c r="H134" s="122"/>
    </row>
    <row r="135" spans="1:8">
      <c r="A135" s="30" t="s">
        <v>295</v>
      </c>
      <c r="B135" s="37" t="s">
        <v>224</v>
      </c>
      <c r="C135" s="30">
        <v>0</v>
      </c>
      <c r="D135" s="30">
        <v>0</v>
      </c>
      <c r="E135" s="30">
        <v>0</v>
      </c>
      <c r="F135" s="30"/>
      <c r="G135" s="6"/>
      <c r="H135" s="122"/>
    </row>
    <row r="136" spans="1:8">
      <c r="A136" s="30" t="s">
        <v>296</v>
      </c>
      <c r="B136" s="37" t="s">
        <v>225</v>
      </c>
      <c r="C136" s="30">
        <v>0</v>
      </c>
      <c r="D136" s="30">
        <v>0</v>
      </c>
      <c r="E136" s="30">
        <v>0</v>
      </c>
      <c r="F136" s="30"/>
      <c r="G136" s="6"/>
      <c r="H136" s="122"/>
    </row>
    <row r="137" spans="1:8">
      <c r="A137" s="25"/>
      <c r="B137" s="6" t="s">
        <v>297</v>
      </c>
      <c r="C137" s="25"/>
      <c r="D137" s="25"/>
      <c r="E137" s="25"/>
      <c r="F137" s="25"/>
      <c r="G137" s="10"/>
      <c r="H137" s="3"/>
    </row>
    <row r="138" spans="1:8">
      <c r="A138" s="38" t="s">
        <v>298</v>
      </c>
      <c r="B138" s="37" t="s">
        <v>197</v>
      </c>
      <c r="C138" s="30">
        <v>0</v>
      </c>
      <c r="D138" s="30">
        <v>0</v>
      </c>
      <c r="E138" s="30">
        <v>3</v>
      </c>
      <c r="F138" s="30"/>
      <c r="G138" s="6"/>
      <c r="H138" s="122"/>
    </row>
    <row r="139" spans="1:8">
      <c r="A139" s="38" t="s">
        <v>299</v>
      </c>
      <c r="B139" s="37" t="s">
        <v>198</v>
      </c>
      <c r="C139" s="30">
        <v>0</v>
      </c>
      <c r="D139" s="30">
        <v>0</v>
      </c>
      <c r="E139" s="30">
        <v>8</v>
      </c>
      <c r="F139" s="30"/>
      <c r="G139" s="6"/>
      <c r="H139" s="122"/>
    </row>
    <row r="140" spans="1:8">
      <c r="A140" s="38" t="s">
        <v>300</v>
      </c>
      <c r="B140" s="37" t="s">
        <v>199</v>
      </c>
      <c r="C140" s="30">
        <v>0</v>
      </c>
      <c r="D140" s="30">
        <v>0</v>
      </c>
      <c r="E140" s="30">
        <v>59.5</v>
      </c>
      <c r="F140" s="30"/>
      <c r="G140" s="6"/>
      <c r="H140" s="122"/>
    </row>
    <row r="141" spans="1:8">
      <c r="A141" s="38" t="s">
        <v>301</v>
      </c>
      <c r="B141" s="37" t="s">
        <v>200</v>
      </c>
      <c r="C141" s="30" t="s">
        <v>201</v>
      </c>
      <c r="D141" s="30" t="s">
        <v>201</v>
      </c>
      <c r="E141" s="30" t="s">
        <v>201</v>
      </c>
      <c r="F141" s="30"/>
      <c r="G141" s="6"/>
      <c r="H141" s="122"/>
    </row>
    <row r="142" spans="1:8">
      <c r="A142" s="30" t="s">
        <v>302</v>
      </c>
      <c r="B142" s="37" t="s">
        <v>220</v>
      </c>
      <c r="C142" s="30">
        <v>16</v>
      </c>
      <c r="D142" s="30">
        <v>7</v>
      </c>
      <c r="E142" s="30">
        <v>1167</v>
      </c>
      <c r="F142" s="30"/>
      <c r="G142" s="6"/>
      <c r="H142" s="122"/>
    </row>
    <row r="143" spans="1:8">
      <c r="A143" s="30" t="s">
        <v>303</v>
      </c>
      <c r="B143" s="37" t="s">
        <v>221</v>
      </c>
      <c r="C143" s="30">
        <v>9</v>
      </c>
      <c r="D143" s="30">
        <v>0</v>
      </c>
      <c r="E143" s="30">
        <v>10</v>
      </c>
      <c r="F143" s="30"/>
      <c r="G143" s="6" t="s">
        <v>474</v>
      </c>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951440</v>
      </c>
    </row>
    <row r="148" spans="1:9">
      <c r="A148" s="27" t="s">
        <v>169</v>
      </c>
      <c r="B148" s="10" t="s">
        <v>167</v>
      </c>
      <c r="C148" s="9" t="s">
        <v>475</v>
      </c>
    </row>
    <row r="149" spans="1:9">
      <c r="A149" s="27" t="s">
        <v>171</v>
      </c>
      <c r="B149" s="10" t="s">
        <v>168</v>
      </c>
      <c r="C149" s="9">
        <v>951440</v>
      </c>
    </row>
    <row r="150" spans="1:9" ht="24.75">
      <c r="A150" s="38">
        <v>31</v>
      </c>
      <c r="B150" s="33" t="s">
        <v>305</v>
      </c>
      <c r="C150" s="9"/>
    </row>
    <row r="151" spans="1:9">
      <c r="A151" s="27" t="s">
        <v>137</v>
      </c>
      <c r="B151" s="10" t="s">
        <v>170</v>
      </c>
      <c r="C151" s="9" t="s">
        <v>475</v>
      </c>
    </row>
    <row r="152" spans="1:9">
      <c r="A152" s="27" t="s">
        <v>138</v>
      </c>
      <c r="B152" s="10" t="s">
        <v>172</v>
      </c>
      <c r="C152" s="9">
        <v>2159991</v>
      </c>
    </row>
    <row r="153" spans="1:9">
      <c r="A153" s="27"/>
      <c r="B153" s="10"/>
      <c r="C153" s="9"/>
    </row>
    <row r="154" spans="1:9">
      <c r="A154" s="30"/>
      <c r="B154" s="1201" t="s">
        <v>306</v>
      </c>
      <c r="C154" s="1202"/>
    </row>
    <row r="155" spans="1:9">
      <c r="A155" s="30">
        <v>32</v>
      </c>
      <c r="B155" s="26" t="s">
        <v>307</v>
      </c>
      <c r="C155" s="52">
        <f>SUM(C156,C157,C163)</f>
        <v>104325</v>
      </c>
    </row>
    <row r="156" spans="1:9">
      <c r="A156" s="25" t="s">
        <v>308</v>
      </c>
      <c r="B156" s="28" t="s">
        <v>69</v>
      </c>
      <c r="C156" s="25">
        <v>38819</v>
      </c>
    </row>
    <row r="157" spans="1:9">
      <c r="A157" s="27" t="s">
        <v>309</v>
      </c>
      <c r="B157" s="28" t="s">
        <v>70</v>
      </c>
      <c r="C157" s="25">
        <v>19390</v>
      </c>
    </row>
    <row r="158" spans="1:9">
      <c r="A158" s="30">
        <v>33</v>
      </c>
      <c r="B158" s="41" t="s">
        <v>71</v>
      </c>
      <c r="C158" s="25">
        <v>23641</v>
      </c>
    </row>
    <row r="159" spans="1:9">
      <c r="A159" s="30">
        <v>34</v>
      </c>
      <c r="B159" s="26" t="s">
        <v>310</v>
      </c>
      <c r="C159" s="52">
        <f>SUM(C160:C162)</f>
        <v>784</v>
      </c>
    </row>
    <row r="160" spans="1:9">
      <c r="A160" s="25" t="s">
        <v>173</v>
      </c>
      <c r="B160" s="28" t="s">
        <v>72</v>
      </c>
      <c r="C160" s="25">
        <v>9</v>
      </c>
    </row>
    <row r="161" spans="1:7">
      <c r="A161" s="27" t="s">
        <v>175</v>
      </c>
      <c r="B161" s="28" t="s">
        <v>73</v>
      </c>
      <c r="C161" s="25">
        <v>498</v>
      </c>
    </row>
    <row r="162" spans="1:7">
      <c r="A162" s="27" t="s">
        <v>177</v>
      </c>
      <c r="B162" s="28" t="s">
        <v>214</v>
      </c>
      <c r="C162" s="25">
        <v>277</v>
      </c>
    </row>
    <row r="163" spans="1:7">
      <c r="A163" s="23">
        <v>35</v>
      </c>
      <c r="B163" s="26" t="s">
        <v>311</v>
      </c>
      <c r="C163" s="52">
        <f>SUM(C164:C166)</f>
        <v>46116</v>
      </c>
    </row>
    <row r="164" spans="1:7">
      <c r="A164" s="39" t="s">
        <v>312</v>
      </c>
      <c r="B164" s="41" t="s">
        <v>174</v>
      </c>
      <c r="C164" s="25">
        <v>45048</v>
      </c>
    </row>
    <row r="165" spans="1:7">
      <c r="A165" s="27" t="s">
        <v>313</v>
      </c>
      <c r="B165" s="41" t="s">
        <v>176</v>
      </c>
      <c r="C165" s="25" t="s">
        <v>377</v>
      </c>
    </row>
    <row r="166" spans="1:7">
      <c r="A166" s="27" t="s">
        <v>314</v>
      </c>
      <c r="B166" s="41" t="s">
        <v>178</v>
      </c>
      <c r="C166" s="25">
        <v>1068</v>
      </c>
    </row>
    <row r="168" spans="1:7">
      <c r="A168" s="23"/>
      <c r="B168" s="129" t="s">
        <v>87</v>
      </c>
      <c r="C168" s="127"/>
      <c r="D168" s="127"/>
      <c r="E168" s="130"/>
      <c r="F168" s="131"/>
    </row>
    <row r="169" spans="1:7">
      <c r="A169" s="23">
        <v>36</v>
      </c>
      <c r="B169" s="132" t="s">
        <v>74</v>
      </c>
      <c r="C169" s="133">
        <v>2849</v>
      </c>
      <c r="D169" s="134"/>
      <c r="E169" s="46"/>
      <c r="F169" s="46"/>
      <c r="G169" s="135"/>
    </row>
    <row r="170" spans="1:7">
      <c r="A170" s="23">
        <v>37</v>
      </c>
      <c r="B170" s="41" t="s">
        <v>75</v>
      </c>
      <c r="C170" s="136">
        <v>2178</v>
      </c>
      <c r="D170" s="134"/>
      <c r="E170" s="46"/>
      <c r="F170" s="46"/>
      <c r="G170" s="135"/>
    </row>
    <row r="171" spans="1:7">
      <c r="A171" s="23">
        <v>38</v>
      </c>
      <c r="B171" s="26" t="s">
        <v>315</v>
      </c>
      <c r="C171" s="54">
        <f>SUM(C172:C174)</f>
        <v>4686</v>
      </c>
      <c r="D171" s="137"/>
      <c r="E171" s="138"/>
      <c r="F171" s="138"/>
      <c r="G171" s="138"/>
    </row>
    <row r="172" spans="1:7">
      <c r="A172" s="39" t="s">
        <v>118</v>
      </c>
      <c r="B172" s="28" t="s">
        <v>208</v>
      </c>
      <c r="C172" s="133">
        <v>2702</v>
      </c>
      <c r="D172" s="134"/>
      <c r="E172" s="46"/>
      <c r="F172" s="46"/>
      <c r="G172" s="135"/>
    </row>
    <row r="173" spans="1:7">
      <c r="A173" s="39" t="s">
        <v>119</v>
      </c>
      <c r="B173" s="28" t="s">
        <v>209</v>
      </c>
      <c r="C173" s="40">
        <v>725</v>
      </c>
      <c r="D173" s="134"/>
      <c r="E173" s="46"/>
      <c r="F173" s="46"/>
      <c r="G173" s="135"/>
    </row>
    <row r="174" spans="1:7">
      <c r="A174" s="27" t="s">
        <v>120</v>
      </c>
      <c r="B174" s="28" t="s">
        <v>210</v>
      </c>
      <c r="C174" s="40">
        <v>1259</v>
      </c>
      <c r="D174" s="134"/>
      <c r="E174" s="46"/>
      <c r="F174" s="46"/>
      <c r="G174" s="135"/>
    </row>
    <row r="175" spans="1:7">
      <c r="A175" s="23">
        <v>39</v>
      </c>
      <c r="B175" s="26" t="s">
        <v>316</v>
      </c>
      <c r="C175" s="54">
        <f>SUM(C176:C178)</f>
        <v>10764</v>
      </c>
      <c r="D175" s="134"/>
      <c r="E175" s="46"/>
      <c r="F175" s="46"/>
      <c r="G175" s="135"/>
    </row>
    <row r="176" spans="1:7">
      <c r="A176" s="39" t="s">
        <v>317</v>
      </c>
      <c r="B176" s="28" t="s">
        <v>76</v>
      </c>
      <c r="C176" s="40">
        <v>2675</v>
      </c>
      <c r="D176" s="134"/>
      <c r="E176" s="46"/>
      <c r="F176" s="46"/>
      <c r="G176" s="135"/>
    </row>
    <row r="177" spans="1:7">
      <c r="A177" s="39" t="s">
        <v>318</v>
      </c>
      <c r="B177" s="28" t="s">
        <v>77</v>
      </c>
      <c r="C177" s="40">
        <v>5</v>
      </c>
      <c r="D177" s="134"/>
      <c r="E177" s="46"/>
      <c r="F177" s="46"/>
      <c r="G177" s="135"/>
    </row>
    <row r="178" spans="1:7">
      <c r="A178" s="27" t="s">
        <v>319</v>
      </c>
      <c r="B178" s="28" t="s">
        <v>78</v>
      </c>
      <c r="C178" s="40">
        <v>8084</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498</v>
      </c>
      <c r="D181" s="134"/>
      <c r="E181" s="46"/>
      <c r="F181" s="46"/>
      <c r="G181" s="135"/>
    </row>
    <row r="182" spans="1:7">
      <c r="A182" s="23">
        <v>41</v>
      </c>
      <c r="B182" s="41" t="s">
        <v>75</v>
      </c>
      <c r="C182" s="40">
        <v>5930</v>
      </c>
      <c r="D182" s="134"/>
      <c r="E182" s="46"/>
      <c r="F182" s="46"/>
      <c r="G182" s="135"/>
    </row>
    <row r="183" spans="1:7">
      <c r="A183" s="23">
        <v>42</v>
      </c>
      <c r="B183" s="26" t="s">
        <v>320</v>
      </c>
      <c r="C183" s="54">
        <f>SUM(C184:C186)</f>
        <v>4671</v>
      </c>
      <c r="D183" s="134"/>
      <c r="E183" s="46"/>
      <c r="F183" s="46"/>
      <c r="G183" s="135"/>
    </row>
    <row r="184" spans="1:7">
      <c r="A184" s="39" t="s">
        <v>96</v>
      </c>
      <c r="B184" s="28" t="s">
        <v>211</v>
      </c>
      <c r="C184" s="136">
        <v>2438</v>
      </c>
      <c r="D184" s="134"/>
      <c r="E184" s="46"/>
      <c r="F184" s="46"/>
      <c r="G184" s="135"/>
    </row>
    <row r="185" spans="1:7">
      <c r="A185" s="39" t="s">
        <v>97</v>
      </c>
      <c r="B185" s="28" t="s">
        <v>212</v>
      </c>
      <c r="C185" s="40">
        <v>61</v>
      </c>
      <c r="D185" s="140"/>
      <c r="E185" s="141"/>
      <c r="F185" s="46"/>
      <c r="G185" s="135"/>
    </row>
    <row r="186" spans="1:7">
      <c r="A186" s="27" t="s">
        <v>98</v>
      </c>
      <c r="B186" s="28" t="s">
        <v>213</v>
      </c>
      <c r="C186" s="25">
        <v>2172</v>
      </c>
      <c r="D186" s="25"/>
      <c r="E186" s="25"/>
      <c r="F186" s="46"/>
    </row>
    <row r="187" spans="1:7">
      <c r="A187" s="23">
        <v>43</v>
      </c>
      <c r="B187" s="26" t="s">
        <v>321</v>
      </c>
      <c r="C187" s="54">
        <f>SUM(C188:C190)</f>
        <v>8109</v>
      </c>
      <c r="D187" s="25"/>
      <c r="E187" s="25"/>
      <c r="F187" s="46"/>
    </row>
    <row r="188" spans="1:7">
      <c r="A188" s="39" t="s">
        <v>100</v>
      </c>
      <c r="B188" s="28" t="s">
        <v>76</v>
      </c>
      <c r="C188" s="40">
        <v>2441</v>
      </c>
      <c r="D188" s="25"/>
      <c r="E188" s="25"/>
      <c r="F188" s="46"/>
    </row>
    <row r="189" spans="1:7">
      <c r="A189" s="39" t="s">
        <v>101</v>
      </c>
      <c r="B189" s="28" t="s">
        <v>77</v>
      </c>
      <c r="C189" s="40">
        <v>40</v>
      </c>
      <c r="D189" s="25"/>
      <c r="E189" s="25"/>
      <c r="F189" s="46"/>
    </row>
    <row r="190" spans="1:7">
      <c r="A190" s="25" t="s">
        <v>102</v>
      </c>
      <c r="B190" s="13" t="s">
        <v>78</v>
      </c>
      <c r="C190" s="40">
        <v>5628</v>
      </c>
      <c r="D190" s="25"/>
      <c r="E190" s="25"/>
      <c r="F190" s="46"/>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f>SUM(C195:C197)</f>
        <v>90</v>
      </c>
      <c r="D194" s="52">
        <f>SUM(D195:D197)</f>
        <v>0</v>
      </c>
      <c r="E194" s="52">
        <f>SUM(E195:E197)</f>
        <v>0</v>
      </c>
      <c r="F194" s="145"/>
    </row>
    <row r="195" spans="1:6">
      <c r="A195" s="25" t="s">
        <v>121</v>
      </c>
      <c r="B195" s="13" t="s">
        <v>181</v>
      </c>
      <c r="C195" s="40">
        <v>81</v>
      </c>
      <c r="D195" s="25">
        <v>0</v>
      </c>
      <c r="E195" s="25">
        <v>0</v>
      </c>
      <c r="F195" s="46"/>
    </row>
    <row r="196" spans="1:6">
      <c r="A196" s="25" t="s">
        <v>122</v>
      </c>
      <c r="B196" s="13" t="s">
        <v>182</v>
      </c>
      <c r="C196" s="40">
        <v>9</v>
      </c>
      <c r="D196" s="25">
        <v>0</v>
      </c>
      <c r="E196" s="25">
        <v>0</v>
      </c>
      <c r="F196" s="46"/>
    </row>
    <row r="197" spans="1:6">
      <c r="A197" s="27" t="s">
        <v>123</v>
      </c>
      <c r="B197" s="13" t="s">
        <v>180</v>
      </c>
      <c r="C197" s="40">
        <v>0</v>
      </c>
      <c r="D197" s="25">
        <v>0</v>
      </c>
      <c r="E197" s="25">
        <v>0</v>
      </c>
      <c r="F197" s="46"/>
    </row>
    <row r="198" spans="1:6">
      <c r="A198" s="30">
        <v>45</v>
      </c>
      <c r="B198" s="6" t="s">
        <v>324</v>
      </c>
      <c r="C198" s="54">
        <f>SUM(C199:C201)</f>
        <v>2966</v>
      </c>
      <c r="D198" s="52">
        <f>SUM(D199:D201)</f>
        <v>0</v>
      </c>
      <c r="E198" s="52">
        <f>SUM(E199:E201)</f>
        <v>0</v>
      </c>
      <c r="F198" s="145"/>
    </row>
    <row r="199" spans="1:6">
      <c r="A199" s="25" t="s">
        <v>325</v>
      </c>
      <c r="B199" s="13" t="s">
        <v>80</v>
      </c>
      <c r="C199" s="40">
        <v>2801</v>
      </c>
      <c r="D199" s="25">
        <v>0</v>
      </c>
      <c r="E199" s="25">
        <v>0</v>
      </c>
      <c r="F199" s="46"/>
    </row>
    <row r="200" spans="1:6">
      <c r="A200" s="25" t="s">
        <v>326</v>
      </c>
      <c r="B200" s="13" t="s">
        <v>60</v>
      </c>
      <c r="C200" s="40">
        <v>165</v>
      </c>
      <c r="D200" s="25">
        <v>0</v>
      </c>
      <c r="E200" s="25">
        <v>0</v>
      </c>
      <c r="F200" s="46"/>
    </row>
    <row r="201" spans="1:6">
      <c r="A201" s="27" t="s">
        <v>327</v>
      </c>
      <c r="B201" s="13" t="s">
        <v>180</v>
      </c>
      <c r="C201" s="40">
        <v>0</v>
      </c>
      <c r="D201" s="25">
        <v>0</v>
      </c>
      <c r="E201" s="25">
        <v>0</v>
      </c>
      <c r="F201" s="46"/>
    </row>
    <row r="202" spans="1:6">
      <c r="A202" s="44"/>
      <c r="B202" s="45"/>
      <c r="C202" s="46"/>
      <c r="D202" s="146"/>
      <c r="E202" s="147"/>
      <c r="F202" s="46"/>
    </row>
    <row r="203" spans="1:6">
      <c r="A203" s="30">
        <v>46</v>
      </c>
      <c r="B203" s="10" t="s">
        <v>203</v>
      </c>
      <c r="C203" s="40">
        <v>780</v>
      </c>
      <c r="D203" s="25">
        <v>0</v>
      </c>
      <c r="E203" s="25">
        <v>500</v>
      </c>
      <c r="F203" s="46"/>
    </row>
    <row r="204" spans="1:6">
      <c r="A204" s="30">
        <v>47</v>
      </c>
      <c r="B204" s="49" t="s">
        <v>204</v>
      </c>
      <c r="C204" s="40">
        <v>722</v>
      </c>
      <c r="D204" s="25">
        <v>0</v>
      </c>
      <c r="E204" s="25">
        <v>523</v>
      </c>
      <c r="F204" s="46"/>
    </row>
    <row r="205" spans="1:6">
      <c r="A205" s="30">
        <v>48</v>
      </c>
      <c r="B205" s="10" t="s">
        <v>179</v>
      </c>
      <c r="C205" s="40">
        <v>0</v>
      </c>
      <c r="D205" s="25">
        <v>0</v>
      </c>
      <c r="E205" s="25">
        <v>0</v>
      </c>
      <c r="F205" s="46"/>
    </row>
    <row r="206" spans="1:6">
      <c r="A206" s="30">
        <v>49</v>
      </c>
      <c r="B206" s="10" t="s">
        <v>61</v>
      </c>
      <c r="C206" s="40">
        <v>0</v>
      </c>
      <c r="D206" s="25">
        <v>0</v>
      </c>
      <c r="E206" s="25">
        <v>0</v>
      </c>
      <c r="F206" s="46"/>
    </row>
    <row r="207" spans="1:6">
      <c r="A207" s="148">
        <v>50</v>
      </c>
      <c r="B207" s="48" t="s">
        <v>202</v>
      </c>
      <c r="C207" s="47">
        <v>0</v>
      </c>
      <c r="D207" s="149">
        <v>0</v>
      </c>
      <c r="E207" s="150">
        <v>0</v>
      </c>
      <c r="F207" s="47"/>
    </row>
    <row r="208" spans="1:6">
      <c r="A208" s="47"/>
      <c r="B208" s="151"/>
      <c r="C208" s="47"/>
      <c r="D208" s="47"/>
      <c r="E208" s="47"/>
      <c r="F208" s="47"/>
    </row>
    <row r="209" spans="1:7">
      <c r="A209" s="47"/>
      <c r="B209" s="6" t="s">
        <v>364</v>
      </c>
      <c r="C209" s="47"/>
      <c r="D209" s="47"/>
      <c r="E209" s="47"/>
      <c r="F209" s="47"/>
    </row>
    <row r="210" spans="1:7">
      <c r="A210" s="4" t="s">
        <v>86</v>
      </c>
      <c r="B210" s="46" t="s">
        <v>8</v>
      </c>
      <c r="C210" s="9" t="s">
        <v>50</v>
      </c>
      <c r="D210" s="9" t="s">
        <v>51</v>
      </c>
      <c r="E210" s="9" t="s">
        <v>110</v>
      </c>
      <c r="F210" s="47"/>
    </row>
    <row r="211" spans="1:7" s="1" customFormat="1">
      <c r="A211" s="38">
        <v>51</v>
      </c>
      <c r="B211" s="6" t="s">
        <v>328</v>
      </c>
      <c r="C211" s="52"/>
      <c r="D211" s="52"/>
      <c r="E211" s="9"/>
      <c r="F211" s="10"/>
      <c r="G211" s="1" t="s">
        <v>476</v>
      </c>
    </row>
    <row r="212" spans="1:7" s="1" customFormat="1">
      <c r="A212" s="27" t="s">
        <v>329</v>
      </c>
      <c r="B212" s="13" t="s">
        <v>226</v>
      </c>
      <c r="C212" s="9"/>
      <c r="D212" s="9"/>
      <c r="E212" s="9">
        <v>184</v>
      </c>
      <c r="F212" s="10"/>
      <c r="G212" s="1" t="s">
        <v>477</v>
      </c>
    </row>
    <row r="213" spans="1:7" s="1" customFormat="1">
      <c r="A213" s="27" t="s">
        <v>330</v>
      </c>
      <c r="B213" s="35" t="s">
        <v>128</v>
      </c>
      <c r="C213" s="9"/>
      <c r="D213" s="9"/>
      <c r="E213" s="9">
        <v>96</v>
      </c>
      <c r="F213" s="10"/>
      <c r="G213" s="1" t="s">
        <v>478</v>
      </c>
    </row>
    <row r="214" spans="1:7" s="1" customFormat="1">
      <c r="A214" s="27" t="s">
        <v>331</v>
      </c>
      <c r="B214" s="13" t="s">
        <v>227</v>
      </c>
      <c r="C214" s="9">
        <v>13</v>
      </c>
      <c r="D214" s="9">
        <v>0</v>
      </c>
      <c r="E214" s="9">
        <v>60</v>
      </c>
      <c r="F214" s="10"/>
    </row>
    <row r="215" spans="1:7" s="1" customFormat="1">
      <c r="A215" s="27" t="s">
        <v>332</v>
      </c>
      <c r="B215" s="35" t="s">
        <v>130</v>
      </c>
      <c r="C215" s="9">
        <v>0</v>
      </c>
      <c r="D215" s="9">
        <v>0</v>
      </c>
      <c r="E215" s="9">
        <v>0</v>
      </c>
      <c r="F215" s="10"/>
    </row>
    <row r="216" spans="1:7" s="1" customFormat="1">
      <c r="A216" s="27" t="s">
        <v>333</v>
      </c>
      <c r="B216" s="13" t="s">
        <v>232</v>
      </c>
      <c r="C216" s="9">
        <v>0</v>
      </c>
      <c r="D216" s="9">
        <v>0</v>
      </c>
      <c r="E216" s="9">
        <v>0</v>
      </c>
      <c r="F216" s="10"/>
    </row>
    <row r="217" spans="1:7" s="1" customFormat="1">
      <c r="A217" s="27" t="s">
        <v>334</v>
      </c>
      <c r="B217" s="35" t="s">
        <v>131</v>
      </c>
      <c r="C217" s="9">
        <v>0</v>
      </c>
      <c r="D217" s="9">
        <v>0</v>
      </c>
      <c r="E217" s="9">
        <v>0</v>
      </c>
      <c r="F217" s="10"/>
    </row>
    <row r="218" spans="1:7" s="1" customFormat="1">
      <c r="A218" s="27" t="s">
        <v>335</v>
      </c>
      <c r="B218" s="13" t="s">
        <v>233</v>
      </c>
      <c r="C218" s="9">
        <v>0</v>
      </c>
      <c r="D218" s="9">
        <v>7</v>
      </c>
      <c r="E218" s="9">
        <v>7</v>
      </c>
      <c r="F218" s="10"/>
    </row>
    <row r="219" spans="1:7" s="1" customFormat="1">
      <c r="A219" s="27" t="s">
        <v>336</v>
      </c>
      <c r="B219" s="35" t="s">
        <v>132</v>
      </c>
      <c r="C219" s="9">
        <v>0</v>
      </c>
      <c r="D219" s="9">
        <v>0</v>
      </c>
      <c r="E219" s="9">
        <v>0</v>
      </c>
      <c r="F219" s="10"/>
      <c r="G219" s="1" t="s">
        <v>479</v>
      </c>
    </row>
    <row r="220" spans="1:7" s="1" customFormat="1">
      <c r="A220" s="27" t="s">
        <v>337</v>
      </c>
      <c r="B220" s="13" t="s">
        <v>234</v>
      </c>
      <c r="C220" s="9">
        <v>0</v>
      </c>
      <c r="D220" s="9">
        <v>0</v>
      </c>
      <c r="E220" s="9">
        <v>12</v>
      </c>
      <c r="F220" s="10"/>
      <c r="G220" s="1" t="s">
        <v>480</v>
      </c>
    </row>
    <row r="221" spans="1:7" s="1" customFormat="1">
      <c r="A221" s="27" t="s">
        <v>338</v>
      </c>
      <c r="B221" s="35" t="s">
        <v>133</v>
      </c>
      <c r="C221" s="9">
        <v>0</v>
      </c>
      <c r="D221" s="9">
        <v>0</v>
      </c>
      <c r="E221" s="9">
        <v>9</v>
      </c>
      <c r="F221" s="10"/>
      <c r="G221" s="1" t="s">
        <v>481</v>
      </c>
    </row>
    <row r="222" spans="1:7" s="1" customFormat="1">
      <c r="A222" s="27" t="s">
        <v>339</v>
      </c>
      <c r="B222" s="13" t="s">
        <v>235</v>
      </c>
      <c r="C222" s="9">
        <v>0</v>
      </c>
      <c r="D222" s="9">
        <v>0</v>
      </c>
      <c r="E222" s="9">
        <v>1</v>
      </c>
      <c r="F222" s="10"/>
    </row>
    <row r="223" spans="1:7" s="1" customFormat="1">
      <c r="A223" s="27" t="s">
        <v>340</v>
      </c>
      <c r="B223" s="35" t="s">
        <v>134</v>
      </c>
      <c r="C223" s="9">
        <v>0</v>
      </c>
      <c r="D223" s="9">
        <v>0</v>
      </c>
      <c r="E223" s="9">
        <v>0</v>
      </c>
      <c r="F223" s="10"/>
    </row>
    <row r="224" spans="1:7" s="1" customFormat="1">
      <c r="A224" s="27" t="s">
        <v>341</v>
      </c>
      <c r="B224" s="13" t="s">
        <v>236</v>
      </c>
      <c r="C224" s="9">
        <v>0</v>
      </c>
      <c r="D224" s="9">
        <v>0</v>
      </c>
      <c r="E224" s="9">
        <v>1</v>
      </c>
      <c r="F224" s="10"/>
    </row>
    <row r="225" spans="1:8" s="1" customFormat="1">
      <c r="A225" s="27" t="s">
        <v>342</v>
      </c>
      <c r="B225" s="35" t="s">
        <v>135</v>
      </c>
      <c r="C225" s="9">
        <v>0</v>
      </c>
      <c r="D225" s="9">
        <v>0</v>
      </c>
      <c r="E225" s="9">
        <v>0</v>
      </c>
      <c r="F225" s="10"/>
    </row>
    <row r="226" spans="1:8" s="1" customFormat="1">
      <c r="A226" s="27" t="s">
        <v>343</v>
      </c>
      <c r="B226" s="13" t="s">
        <v>237</v>
      </c>
      <c r="C226" s="9">
        <v>0</v>
      </c>
      <c r="D226" s="9">
        <v>0</v>
      </c>
      <c r="E226" s="9">
        <v>24</v>
      </c>
      <c r="F226" s="10"/>
      <c r="G226" s="1" t="s">
        <v>482</v>
      </c>
    </row>
    <row r="227" spans="1:8" s="1" customFormat="1" ht="25.5">
      <c r="A227" s="27" t="s">
        <v>344</v>
      </c>
      <c r="B227" s="152" t="s">
        <v>136</v>
      </c>
      <c r="C227" s="9">
        <v>0</v>
      </c>
      <c r="D227" s="9">
        <v>0</v>
      </c>
      <c r="E227" s="9">
        <v>5</v>
      </c>
      <c r="F227" s="10"/>
      <c r="G227" s="1" t="s">
        <v>483</v>
      </c>
    </row>
    <row r="228" spans="1:8">
      <c r="A228" s="47"/>
      <c r="B228" s="151"/>
      <c r="C228" s="47"/>
      <c r="D228" s="47"/>
      <c r="E228" s="47"/>
      <c r="F228" s="47"/>
      <c r="G228" s="60" t="s">
        <v>484</v>
      </c>
    </row>
    <row r="229" spans="1:8">
      <c r="A229" s="47"/>
      <c r="B229" s="153" t="s">
        <v>345</v>
      </c>
      <c r="C229" s="35"/>
      <c r="D229" s="154"/>
      <c r="E229" s="154"/>
      <c r="F229" s="154"/>
      <c r="G229" s="3" t="s">
        <v>485</v>
      </c>
    </row>
    <row r="230" spans="1:8" ht="25.5">
      <c r="A230" s="27" t="s">
        <v>346</v>
      </c>
      <c r="B230" s="155" t="s">
        <v>238</v>
      </c>
      <c r="C230" s="165" t="s">
        <v>380</v>
      </c>
      <c r="D230" s="47"/>
      <c r="E230" s="47"/>
      <c r="F230" s="47"/>
      <c r="G230" s="3" t="s">
        <v>486</v>
      </c>
    </row>
    <row r="231" spans="1:8">
      <c r="A231" s="27" t="s">
        <v>347</v>
      </c>
      <c r="B231" s="152" t="s">
        <v>115</v>
      </c>
      <c r="C231" s="156" t="s">
        <v>380</v>
      </c>
      <c r="D231" s="47"/>
      <c r="E231" s="47"/>
      <c r="F231" s="47"/>
    </row>
    <row r="232" spans="1:8" ht="25.5">
      <c r="A232" s="27" t="s">
        <v>348</v>
      </c>
      <c r="B232" s="155" t="s">
        <v>239</v>
      </c>
      <c r="C232" s="156" t="s">
        <v>380</v>
      </c>
      <c r="D232" s="47"/>
      <c r="E232" s="47"/>
      <c r="F232" s="47"/>
      <c r="G232" s="3" t="s">
        <v>486</v>
      </c>
    </row>
    <row r="233" spans="1:8">
      <c r="A233" s="27" t="s">
        <v>349</v>
      </c>
      <c r="B233" s="152" t="s">
        <v>116</v>
      </c>
      <c r="C233" s="156" t="s">
        <v>380</v>
      </c>
      <c r="D233" s="47"/>
      <c r="E233" s="47"/>
      <c r="F233" s="47"/>
    </row>
    <row r="234" spans="1:8" ht="25.5">
      <c r="A234" s="27" t="s">
        <v>350</v>
      </c>
      <c r="B234" s="155" t="s">
        <v>240</v>
      </c>
      <c r="C234" s="156">
        <v>332</v>
      </c>
      <c r="D234" s="47"/>
      <c r="E234" s="47"/>
      <c r="F234" s="47"/>
    </row>
    <row r="235" spans="1:8">
      <c r="A235" s="27" t="s">
        <v>351</v>
      </c>
      <c r="B235" s="152" t="s">
        <v>117</v>
      </c>
      <c r="C235" s="157" t="s">
        <v>378</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v>76</v>
      </c>
      <c r="D239" s="25"/>
      <c r="E239" s="40"/>
      <c r="F239" s="40"/>
      <c r="G239" s="10"/>
      <c r="H239" s="3"/>
    </row>
    <row r="240" spans="1:8">
      <c r="A240" s="30">
        <v>53</v>
      </c>
      <c r="B240" s="10" t="s">
        <v>63</v>
      </c>
      <c r="C240" s="25">
        <v>28741</v>
      </c>
      <c r="D240" s="25"/>
      <c r="E240" s="40"/>
      <c r="F240" s="40"/>
      <c r="G240" s="10"/>
      <c r="H240" s="3"/>
    </row>
    <row r="241" spans="1:10">
      <c r="A241" s="30">
        <v>54</v>
      </c>
      <c r="B241" s="10" t="s">
        <v>215</v>
      </c>
      <c r="C241" s="25">
        <v>88</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115</v>
      </c>
      <c r="D245" s="52">
        <f>SUM(D246:D251)</f>
        <v>140</v>
      </c>
      <c r="E245" s="54">
        <f>SUM(E246:E251)</f>
        <v>410</v>
      </c>
      <c r="F245" s="54">
        <f>SUM(F246:F251)</f>
        <v>62</v>
      </c>
      <c r="G245" s="54">
        <f>SUM(G246:G251)</f>
        <v>810</v>
      </c>
      <c r="H245" s="145"/>
    </row>
    <row r="246" spans="1:10">
      <c r="A246" s="25" t="s">
        <v>353</v>
      </c>
      <c r="B246" s="13" t="s">
        <v>64</v>
      </c>
      <c r="C246" s="25">
        <v>115</v>
      </c>
      <c r="D246" s="25">
        <v>140</v>
      </c>
      <c r="E246" s="40">
        <v>410</v>
      </c>
      <c r="F246" s="40">
        <v>62</v>
      </c>
      <c r="G246" s="25">
        <v>727</v>
      </c>
      <c r="H246" s="3"/>
      <c r="J246" s="25"/>
    </row>
    <row r="247" spans="1:10">
      <c r="A247" s="27" t="s">
        <v>354</v>
      </c>
      <c r="B247" s="13" t="s">
        <v>65</v>
      </c>
      <c r="C247" s="25">
        <v>0</v>
      </c>
      <c r="D247" s="25">
        <v>0</v>
      </c>
      <c r="E247" s="40">
        <v>0</v>
      </c>
      <c r="F247" s="40">
        <v>0</v>
      </c>
      <c r="G247" s="25">
        <v>0</v>
      </c>
      <c r="H247" s="3"/>
    </row>
    <row r="248" spans="1:10">
      <c r="A248" s="27" t="s">
        <v>355</v>
      </c>
      <c r="B248" s="13" t="s">
        <v>66</v>
      </c>
      <c r="C248" s="25" t="s">
        <v>380</v>
      </c>
      <c r="D248" s="25" t="s">
        <v>380</v>
      </c>
      <c r="E248" s="40" t="s">
        <v>380</v>
      </c>
      <c r="F248" s="40" t="s">
        <v>380</v>
      </c>
      <c r="G248" s="25">
        <v>15</v>
      </c>
      <c r="H248" s="3"/>
    </row>
    <row r="249" spans="1:10">
      <c r="A249" s="27" t="s">
        <v>356</v>
      </c>
      <c r="B249" s="13" t="s">
        <v>67</v>
      </c>
      <c r="C249" s="25" t="s">
        <v>380</v>
      </c>
      <c r="D249" s="25" t="s">
        <v>380</v>
      </c>
      <c r="E249" s="40" t="s">
        <v>380</v>
      </c>
      <c r="F249" s="40" t="s">
        <v>380</v>
      </c>
      <c r="G249" s="25" t="s">
        <v>380</v>
      </c>
      <c r="H249" s="3"/>
    </row>
    <row r="250" spans="1:10">
      <c r="A250" s="25" t="s">
        <v>357</v>
      </c>
      <c r="B250" s="13" t="s">
        <v>68</v>
      </c>
      <c r="C250" s="25" t="s">
        <v>380</v>
      </c>
      <c r="D250" s="25" t="s">
        <v>380</v>
      </c>
      <c r="E250" s="40" t="s">
        <v>380</v>
      </c>
      <c r="F250" s="40" t="s">
        <v>380</v>
      </c>
      <c r="G250" s="25">
        <v>68</v>
      </c>
      <c r="H250" s="3"/>
    </row>
    <row r="251" spans="1:10" ht="24.75">
      <c r="A251" s="27" t="s">
        <v>358</v>
      </c>
      <c r="B251" s="155" t="s">
        <v>183</v>
      </c>
      <c r="C251" s="25" t="s">
        <v>380</v>
      </c>
      <c r="D251" s="25" t="s">
        <v>380</v>
      </c>
      <c r="E251" s="40" t="s">
        <v>380</v>
      </c>
      <c r="F251" s="40" t="s">
        <v>380</v>
      </c>
      <c r="G251" s="25" t="s">
        <v>380</v>
      </c>
      <c r="H251" s="3"/>
    </row>
    <row r="252" spans="1:10" ht="15">
      <c r="B252" s="161"/>
    </row>
  </sheetData>
  <mergeCells count="83">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6:E96"/>
    <mergeCell ref="D85:E85"/>
    <mergeCell ref="D86:E86"/>
    <mergeCell ref="D87:E87"/>
    <mergeCell ref="D88:E88"/>
    <mergeCell ref="D89:E89"/>
    <mergeCell ref="D90:E90"/>
    <mergeCell ref="D91:E91"/>
    <mergeCell ref="D92:E92"/>
    <mergeCell ref="D93:E93"/>
    <mergeCell ref="D94:E94"/>
    <mergeCell ref="D95:E95"/>
    <mergeCell ref="D97:E97"/>
    <mergeCell ref="A99:G99"/>
    <mergeCell ref="A101:A102"/>
    <mergeCell ref="B101:B102"/>
    <mergeCell ref="C101:E102"/>
    <mergeCell ref="G101:G102"/>
    <mergeCell ref="A144:G144"/>
    <mergeCell ref="A145:G145"/>
    <mergeCell ref="B154:C154"/>
    <mergeCell ref="D192:E192"/>
    <mergeCell ref="A237:G237"/>
  </mergeCells>
  <hyperlinks>
    <hyperlink ref="B9" r:id="rId1"/>
  </hyperlinks>
  <pageMargins left="0.7" right="0.7" top="0.75" bottom="0.75" header="0.3" footer="0.3"/>
  <legacyDrawing r:id="rId2"/>
</worksheet>
</file>

<file path=xl/worksheets/sheet7.xml><?xml version="1.0" encoding="utf-8"?>
<worksheet xmlns="http://schemas.openxmlformats.org/spreadsheetml/2006/main" xmlns:r="http://schemas.openxmlformats.org/officeDocument/2006/relationships">
  <dimension ref="A1:J252"/>
  <sheetViews>
    <sheetView topLeftCell="A23" workbookViewId="0">
      <selection activeCell="A92" sqref="A92"/>
    </sheetView>
  </sheetViews>
  <sheetFormatPr defaultRowHeight="12.75"/>
  <cols>
    <col min="1" max="1" width="11.28515625" customWidth="1"/>
    <col min="2" max="2" width="60.28515625" customWidth="1"/>
    <col min="3" max="3" width="11.28515625" customWidth="1"/>
    <col min="4" max="4" width="10.7109375" customWidth="1"/>
    <col min="5" max="5" width="11.140625" customWidth="1"/>
    <col min="6" max="6" width="6.28515625" customWidth="1"/>
    <col min="7" max="7" width="11.85546875" customWidth="1"/>
  </cols>
  <sheetData>
    <row r="1" spans="1:8" ht="18">
      <c r="A1" s="65"/>
      <c r="B1" s="66" t="s">
        <v>241</v>
      </c>
      <c r="C1" s="66" t="s">
        <v>487</v>
      </c>
      <c r="D1" s="67"/>
      <c r="E1" s="67"/>
      <c r="F1" s="67"/>
      <c r="G1" s="172"/>
      <c r="H1" s="172"/>
    </row>
    <row r="2" spans="1:8">
      <c r="A2" s="69"/>
      <c r="B2" s="172"/>
      <c r="C2" s="69"/>
      <c r="D2" s="69"/>
      <c r="E2" s="69"/>
      <c r="F2" s="69"/>
      <c r="G2" s="172"/>
      <c r="H2" s="172"/>
    </row>
    <row r="3" spans="1:8" ht="15.75">
      <c r="A3" s="70" t="s">
        <v>161</v>
      </c>
      <c r="B3" s="194" t="s">
        <v>488</v>
      </c>
      <c r="C3" s="72"/>
      <c r="D3" s="73" t="s">
        <v>185</v>
      </c>
      <c r="E3" s="72"/>
      <c r="F3" s="72"/>
      <c r="G3" s="172"/>
      <c r="H3" s="172"/>
    </row>
    <row r="4" spans="1:8">
      <c r="A4" s="69"/>
      <c r="B4" s="172"/>
      <c r="C4" s="69"/>
      <c r="D4" s="69"/>
      <c r="E4" s="69"/>
      <c r="F4" s="69"/>
      <c r="G4" s="172"/>
      <c r="H4" s="172"/>
    </row>
    <row r="5" spans="1:8">
      <c r="A5" s="1231" t="s">
        <v>189</v>
      </c>
      <c r="B5" s="71" t="s">
        <v>489</v>
      </c>
      <c r="C5" s="72"/>
      <c r="D5" s="74" t="s">
        <v>186</v>
      </c>
      <c r="E5" s="72"/>
      <c r="F5" s="72"/>
      <c r="G5" s="172"/>
      <c r="H5" s="172"/>
    </row>
    <row r="6" spans="1:8" ht="20.25" customHeight="1">
      <c r="A6" s="1323"/>
      <c r="B6" s="72"/>
      <c r="C6" s="69"/>
      <c r="D6" s="75" t="s">
        <v>187</v>
      </c>
      <c r="E6" s="69"/>
      <c r="F6" s="69"/>
      <c r="G6" s="172"/>
      <c r="H6" s="172"/>
    </row>
    <row r="7" spans="1:8">
      <c r="A7" s="1231" t="s">
        <v>184</v>
      </c>
      <c r="B7" s="71" t="s">
        <v>490</v>
      </c>
      <c r="C7" s="72"/>
      <c r="D7" s="72"/>
      <c r="E7" s="72"/>
      <c r="F7" s="72"/>
      <c r="G7" s="172"/>
      <c r="H7" s="172"/>
    </row>
    <row r="8" spans="1:8">
      <c r="A8" s="1323"/>
      <c r="B8" s="172"/>
      <c r="C8" s="72"/>
      <c r="D8" s="75" t="s">
        <v>188</v>
      </c>
      <c r="E8" s="69"/>
      <c r="F8" s="69"/>
      <c r="G8" s="172"/>
      <c r="H8" s="172"/>
    </row>
    <row r="9" spans="1:8" ht="15">
      <c r="A9" s="76" t="s">
        <v>190</v>
      </c>
      <c r="B9" s="198" t="s">
        <v>491</v>
      </c>
      <c r="C9" s="72"/>
      <c r="D9" s="69"/>
      <c r="E9" s="69"/>
      <c r="F9" s="69"/>
      <c r="G9" s="172"/>
      <c r="H9" s="172"/>
    </row>
    <row r="10" spans="1:8">
      <c r="A10" s="67"/>
      <c r="B10" s="172"/>
      <c r="C10" s="69"/>
      <c r="D10" s="77" t="s">
        <v>242</v>
      </c>
      <c r="E10" s="69"/>
      <c r="F10" s="78"/>
      <c r="G10" s="172"/>
      <c r="H10" s="172"/>
    </row>
    <row r="11" spans="1:8">
      <c r="A11" s="79" t="s">
        <v>162</v>
      </c>
      <c r="B11" s="71" t="s">
        <v>492</v>
      </c>
      <c r="C11" s="72"/>
      <c r="D11" s="69"/>
      <c r="E11" s="69"/>
      <c r="F11" s="69"/>
      <c r="G11" s="172"/>
      <c r="H11" s="172"/>
    </row>
    <row r="12" spans="1:8">
      <c r="A12" s="69"/>
      <c r="B12" s="172"/>
      <c r="C12" s="69"/>
      <c r="D12" s="67"/>
      <c r="E12" s="69"/>
      <c r="F12" s="69"/>
      <c r="G12" s="172"/>
      <c r="H12" s="172"/>
    </row>
    <row r="13" spans="1:8">
      <c r="A13" s="1232" t="s">
        <v>163</v>
      </c>
      <c r="B13" s="71" t="s">
        <v>493</v>
      </c>
      <c r="C13" s="72"/>
      <c r="D13" s="72"/>
      <c r="E13" s="69"/>
      <c r="F13" s="69"/>
      <c r="G13" s="172"/>
      <c r="H13" s="172"/>
    </row>
    <row r="14" spans="1:8">
      <c r="A14" s="1324"/>
      <c r="B14" s="172"/>
      <c r="C14" s="172"/>
      <c r="D14" s="172"/>
      <c r="E14" s="172"/>
      <c r="F14" s="172"/>
      <c r="G14" s="172"/>
      <c r="H14" s="172"/>
    </row>
    <row r="16" spans="1:8" ht="13.5">
      <c r="A16" s="1226" t="s">
        <v>494</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v>0</v>
      </c>
      <c r="D18" s="1218"/>
      <c r="E18" s="1218"/>
      <c r="F18" s="84"/>
      <c r="G18" s="85"/>
      <c r="H18" s="72"/>
    </row>
    <row r="19" spans="1:8" ht="25.5">
      <c r="A19" s="11" t="s">
        <v>111</v>
      </c>
      <c r="B19" s="86" t="s">
        <v>228</v>
      </c>
      <c r="C19" s="8">
        <v>4</v>
      </c>
      <c r="D19" s="1203" t="s">
        <v>495</v>
      </c>
      <c r="E19" s="1203"/>
      <c r="F19" s="84"/>
      <c r="G19" s="85"/>
      <c r="H19" s="72"/>
    </row>
    <row r="20" spans="1:8" ht="25.5">
      <c r="A20" s="11" t="s">
        <v>112</v>
      </c>
      <c r="B20" s="86" t="s">
        <v>229</v>
      </c>
      <c r="C20" s="8">
        <v>44</v>
      </c>
      <c r="D20" s="1203" t="s">
        <v>496</v>
      </c>
      <c r="E20" s="1203"/>
      <c r="F20" s="84"/>
      <c r="G20" s="85"/>
      <c r="H20" s="72"/>
    </row>
    <row r="21" spans="1:8" ht="25.5">
      <c r="A21" s="11" t="s">
        <v>113</v>
      </c>
      <c r="B21" s="87" t="s">
        <v>230</v>
      </c>
      <c r="C21" s="8">
        <v>6</v>
      </c>
      <c r="D21" s="1203"/>
      <c r="E21" s="1203"/>
      <c r="F21" s="84"/>
      <c r="G21" s="85"/>
      <c r="H21" s="72"/>
    </row>
    <row r="22" spans="1:8" ht="25.5">
      <c r="A22" s="11" t="s">
        <v>114</v>
      </c>
      <c r="B22" s="87" t="s">
        <v>231</v>
      </c>
      <c r="C22" s="14">
        <v>7</v>
      </c>
      <c r="D22" s="1203" t="s">
        <v>497</v>
      </c>
      <c r="E22" s="1203"/>
      <c r="F22" s="84"/>
      <c r="G22" s="85"/>
      <c r="H22" s="72"/>
    </row>
    <row r="23" spans="1:8">
      <c r="A23" s="1222"/>
      <c r="B23" s="1223"/>
      <c r="C23" s="1224"/>
      <c r="D23" s="1224"/>
      <c r="E23" s="1224"/>
      <c r="F23" s="1224"/>
      <c r="G23" s="1225"/>
      <c r="H23" s="80"/>
    </row>
    <row r="24" spans="1:8" ht="13.5">
      <c r="A24" s="1226" t="s">
        <v>498</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23</v>
      </c>
      <c r="D26" s="1218"/>
      <c r="E26" s="1218"/>
      <c r="F26" s="84"/>
      <c r="G26" s="85"/>
      <c r="H26" s="72"/>
    </row>
    <row r="27" spans="1:8">
      <c r="A27" s="8" t="s">
        <v>3</v>
      </c>
      <c r="B27" s="12" t="s">
        <v>4</v>
      </c>
      <c r="C27" s="15">
        <v>18</v>
      </c>
      <c r="D27" s="1218"/>
      <c r="E27" s="1218"/>
      <c r="F27" s="84"/>
      <c r="G27" s="85"/>
      <c r="H27" s="72"/>
    </row>
    <row r="28" spans="1:8">
      <c r="A28" s="11" t="s">
        <v>5</v>
      </c>
      <c r="B28" s="12" t="s">
        <v>144</v>
      </c>
      <c r="C28" s="15">
        <v>2</v>
      </c>
      <c r="D28" s="1218"/>
      <c r="E28" s="1218"/>
      <c r="F28" s="84"/>
      <c r="G28" s="85"/>
      <c r="H28" s="72"/>
    </row>
    <row r="29" spans="1:8">
      <c r="A29" s="8" t="s">
        <v>145</v>
      </c>
      <c r="B29" s="12" t="s">
        <v>146</v>
      </c>
      <c r="C29" s="15">
        <v>2</v>
      </c>
      <c r="D29" s="1220"/>
      <c r="E29" s="1229"/>
      <c r="F29" s="174"/>
      <c r="G29" s="85"/>
      <c r="H29" s="72"/>
    </row>
    <row r="30" spans="1:8">
      <c r="A30" s="8" t="s">
        <v>244</v>
      </c>
      <c r="B30" s="12" t="s">
        <v>245</v>
      </c>
      <c r="C30" s="15">
        <v>1</v>
      </c>
      <c r="D30" s="88"/>
      <c r="E30" s="174"/>
      <c r="F30" s="174"/>
      <c r="G30" s="85"/>
      <c r="H30" s="72"/>
    </row>
    <row r="31" spans="1:8">
      <c r="A31" s="5">
        <v>3</v>
      </c>
      <c r="B31" s="7" t="s">
        <v>14</v>
      </c>
      <c r="C31" s="50">
        <f>SUM(C32:C34)</f>
        <v>43.5</v>
      </c>
      <c r="D31" s="1218"/>
      <c r="E31" s="1218"/>
      <c r="F31" s="84"/>
      <c r="G31" s="85"/>
      <c r="H31" s="72"/>
    </row>
    <row r="32" spans="1:8">
      <c r="A32" s="8" t="s">
        <v>6</v>
      </c>
      <c r="B32" s="12" t="s">
        <v>7</v>
      </c>
      <c r="C32" s="15">
        <v>31.5</v>
      </c>
      <c r="D32" s="1218"/>
      <c r="E32" s="1218"/>
      <c r="F32" s="84"/>
      <c r="G32" s="85"/>
      <c r="H32" s="72"/>
    </row>
    <row r="33" spans="1:8">
      <c r="A33" s="11" t="s">
        <v>12</v>
      </c>
      <c r="B33" s="12" t="s">
        <v>15</v>
      </c>
      <c r="C33" s="15">
        <v>8</v>
      </c>
      <c r="D33" s="1218"/>
      <c r="E33" s="1218"/>
      <c r="F33" s="84"/>
      <c r="G33" s="85"/>
      <c r="H33" s="72"/>
    </row>
    <row r="34" spans="1:8">
      <c r="A34" s="11" t="s">
        <v>13</v>
      </c>
      <c r="B34" s="12" t="s">
        <v>148</v>
      </c>
      <c r="C34" s="15">
        <v>4</v>
      </c>
      <c r="D34" s="1218"/>
      <c r="E34" s="1218"/>
      <c r="F34" s="84"/>
      <c r="G34" s="85"/>
      <c r="H34" s="72"/>
    </row>
    <row r="35" spans="1:8">
      <c r="A35" s="5">
        <v>4</v>
      </c>
      <c r="B35" s="16" t="s">
        <v>17</v>
      </c>
      <c r="C35" s="15">
        <v>0</v>
      </c>
      <c r="D35" s="1218"/>
      <c r="E35" s="1218"/>
      <c r="F35" s="84"/>
      <c r="G35" s="85"/>
      <c r="H35" s="72"/>
    </row>
    <row r="36" spans="1:8">
      <c r="A36" s="11" t="s">
        <v>16</v>
      </c>
      <c r="B36" s="12" t="s">
        <v>84</v>
      </c>
      <c r="C36" s="15">
        <v>2</v>
      </c>
      <c r="D36" s="1218"/>
      <c r="E36" s="1218"/>
      <c r="F36" s="84"/>
      <c r="G36" s="85"/>
      <c r="H36" s="72"/>
    </row>
    <row r="37" spans="1:8" ht="25.5">
      <c r="A37" s="5">
        <v>5</v>
      </c>
      <c r="B37" s="90" t="s">
        <v>26</v>
      </c>
      <c r="C37" s="15">
        <v>28.5</v>
      </c>
      <c r="D37" s="1218"/>
      <c r="E37" s="1218"/>
      <c r="F37" s="84"/>
      <c r="G37" s="85"/>
      <c r="H37" s="72"/>
    </row>
    <row r="38" spans="1:8">
      <c r="A38" s="17" t="s">
        <v>147</v>
      </c>
      <c r="B38" s="16" t="s">
        <v>150</v>
      </c>
      <c r="C38" s="15">
        <v>0</v>
      </c>
      <c r="D38" s="1219"/>
      <c r="E38" s="1219"/>
      <c r="F38" s="81"/>
      <c r="G38" s="85"/>
      <c r="H38" s="72"/>
    </row>
    <row r="39" spans="1:8">
      <c r="A39" s="5">
        <v>6</v>
      </c>
      <c r="B39" s="7" t="s">
        <v>85</v>
      </c>
      <c r="C39" s="50">
        <f>SUM(C26+C31+C35+C37)</f>
        <v>95</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59">
        <f>SUM(C45:C47)</f>
        <v>1915110</v>
      </c>
      <c r="D44" s="1218"/>
      <c r="E44" s="1218"/>
      <c r="F44" s="84"/>
      <c r="G44" s="85"/>
      <c r="H44" s="72"/>
    </row>
    <row r="45" spans="1:8">
      <c r="A45" s="8" t="s">
        <v>11</v>
      </c>
      <c r="B45" s="12" t="s">
        <v>19</v>
      </c>
      <c r="C45" s="59">
        <v>1497096</v>
      </c>
      <c r="D45" s="1218"/>
      <c r="E45" s="1218"/>
      <c r="F45" s="84"/>
      <c r="G45" s="85"/>
      <c r="H45" s="72"/>
    </row>
    <row r="46" spans="1:8">
      <c r="A46" s="11" t="s">
        <v>18</v>
      </c>
      <c r="B46" s="12" t="s">
        <v>151</v>
      </c>
      <c r="C46" s="59">
        <v>342574</v>
      </c>
      <c r="D46" s="1218"/>
      <c r="E46" s="1218"/>
      <c r="F46" s="84"/>
      <c r="G46" s="85"/>
      <c r="H46" s="72"/>
    </row>
    <row r="47" spans="1:8">
      <c r="A47" s="8" t="s">
        <v>247</v>
      </c>
      <c r="B47" s="12" t="s">
        <v>248</v>
      </c>
      <c r="C47" s="59">
        <v>75440</v>
      </c>
      <c r="D47" s="84"/>
      <c r="E47" s="84"/>
      <c r="F47" s="84"/>
      <c r="G47" s="85"/>
      <c r="H47" s="72"/>
    </row>
    <row r="48" spans="1:8">
      <c r="A48" s="5">
        <v>8</v>
      </c>
      <c r="B48" s="7" t="s">
        <v>109</v>
      </c>
      <c r="C48" s="59">
        <f>SUM(C49:C51)</f>
        <v>1830928</v>
      </c>
      <c r="D48" s="1218"/>
      <c r="E48" s="1218"/>
      <c r="F48" s="84"/>
      <c r="G48" s="85"/>
      <c r="H48" s="72"/>
    </row>
    <row r="49" spans="1:8">
      <c r="A49" s="19" t="s">
        <v>20</v>
      </c>
      <c r="B49" s="20" t="s">
        <v>23</v>
      </c>
      <c r="C49" s="59">
        <v>1222802</v>
      </c>
      <c r="D49" s="1218"/>
      <c r="E49" s="1218"/>
      <c r="F49" s="84"/>
      <c r="G49" s="85"/>
      <c r="H49" s="72"/>
    </row>
    <row r="50" spans="1:8">
      <c r="A50" s="11" t="s">
        <v>21</v>
      </c>
      <c r="B50" s="12" t="s">
        <v>24</v>
      </c>
      <c r="C50" s="59">
        <v>387346</v>
      </c>
      <c r="D50" s="1218"/>
      <c r="E50" s="1218"/>
      <c r="F50" s="84"/>
      <c r="G50" s="85"/>
      <c r="H50" s="72"/>
    </row>
    <row r="51" spans="1:8">
      <c r="A51" s="11" t="s">
        <v>22</v>
      </c>
      <c r="B51" s="12" t="s">
        <v>25</v>
      </c>
      <c r="C51" s="59">
        <v>220780</v>
      </c>
      <c r="D51" s="1218"/>
      <c r="E51" s="1218"/>
      <c r="F51" s="84"/>
      <c r="G51" s="85"/>
      <c r="H51" s="72"/>
    </row>
    <row r="52" spans="1:8" ht="25.5">
      <c r="A52" s="21">
        <v>9</v>
      </c>
      <c r="B52" s="22" t="s">
        <v>27</v>
      </c>
      <c r="C52" s="59">
        <v>519576</v>
      </c>
      <c r="D52" s="1218"/>
      <c r="E52" s="1218"/>
      <c r="F52" s="84"/>
      <c r="G52" s="85"/>
      <c r="H52" s="72"/>
    </row>
    <row r="53" spans="1:8">
      <c r="A53" s="21">
        <v>10</v>
      </c>
      <c r="B53" s="22" t="s">
        <v>249</v>
      </c>
      <c r="C53" s="59">
        <f>SUM(C44+C48+C52)</f>
        <v>4265614</v>
      </c>
      <c r="D53" s="88"/>
      <c r="E53" s="94"/>
      <c r="F53" s="94"/>
      <c r="G53" s="85"/>
      <c r="H53" s="72"/>
    </row>
    <row r="54" spans="1:8">
      <c r="A54" s="21"/>
      <c r="B54" s="22"/>
      <c r="C54" s="55"/>
      <c r="D54" s="1220"/>
      <c r="E54" s="1221"/>
      <c r="F54" s="94"/>
      <c r="G54" s="85"/>
      <c r="H54" s="72"/>
    </row>
    <row r="55" spans="1:8">
      <c r="A55" s="95"/>
      <c r="B55" s="92" t="s">
        <v>250</v>
      </c>
      <c r="C55" s="96"/>
      <c r="D55" s="1219"/>
      <c r="E55" s="1218"/>
      <c r="F55" s="84"/>
      <c r="G55" s="85"/>
      <c r="H55" s="72"/>
    </row>
    <row r="56" spans="1:8" ht="25.5">
      <c r="A56" s="97">
        <v>11</v>
      </c>
      <c r="B56" s="98" t="s">
        <v>251</v>
      </c>
      <c r="C56" s="99">
        <f>SUM(C57:C59)</f>
        <v>352992</v>
      </c>
      <c r="D56" s="1218"/>
      <c r="E56" s="1218"/>
      <c r="F56" s="84"/>
      <c r="G56" s="85"/>
      <c r="H56" s="72"/>
    </row>
    <row r="57" spans="1:8">
      <c r="A57" s="100" t="s">
        <v>30</v>
      </c>
      <c r="B57" s="101" t="s">
        <v>28</v>
      </c>
      <c r="C57" s="55">
        <v>303138</v>
      </c>
      <c r="D57" s="1218"/>
      <c r="E57" s="1218"/>
      <c r="F57" s="84"/>
      <c r="G57" s="85"/>
      <c r="H57" s="72"/>
    </row>
    <row r="58" spans="1:8">
      <c r="A58" s="100" t="s">
        <v>32</v>
      </c>
      <c r="B58" s="101" t="s">
        <v>152</v>
      </c>
      <c r="C58" s="55">
        <v>49854</v>
      </c>
      <c r="D58" s="1218"/>
      <c r="E58" s="1218"/>
      <c r="F58" s="84"/>
      <c r="G58" s="85"/>
      <c r="H58" s="72"/>
    </row>
    <row r="59" spans="1:8">
      <c r="A59" s="100" t="s">
        <v>34</v>
      </c>
      <c r="B59" s="101" t="s">
        <v>29</v>
      </c>
      <c r="C59" s="55" t="s">
        <v>378</v>
      </c>
      <c r="D59" s="1218" t="s">
        <v>499</v>
      </c>
      <c r="E59" s="1218"/>
      <c r="F59" s="84"/>
      <c r="G59" s="85"/>
      <c r="H59" s="72"/>
    </row>
    <row r="60" spans="1:8" ht="38.25">
      <c r="A60" s="97">
        <v>12</v>
      </c>
      <c r="B60" s="98" t="s">
        <v>252</v>
      </c>
      <c r="C60" s="57">
        <f>SUM(C61+C62+C64)</f>
        <v>1579306</v>
      </c>
      <c r="D60" s="1218"/>
      <c r="E60" s="1218"/>
      <c r="F60" s="84"/>
      <c r="G60" s="85"/>
      <c r="H60" s="72"/>
    </row>
    <row r="61" spans="1:8">
      <c r="A61" s="100" t="s">
        <v>36</v>
      </c>
      <c r="B61" s="101" t="s">
        <v>31</v>
      </c>
      <c r="C61" s="55">
        <v>385986</v>
      </c>
      <c r="D61" s="1218"/>
      <c r="E61" s="1218"/>
      <c r="F61" s="84"/>
      <c r="G61" s="85"/>
      <c r="H61" s="72"/>
    </row>
    <row r="62" spans="1:8">
      <c r="A62" s="100" t="s">
        <v>38</v>
      </c>
      <c r="B62" s="101" t="s">
        <v>206</v>
      </c>
      <c r="C62" s="55">
        <v>1175659</v>
      </c>
      <c r="D62" s="1218"/>
      <c r="E62" s="1218"/>
      <c r="F62" s="84"/>
      <c r="G62" s="85"/>
      <c r="H62" s="72"/>
    </row>
    <row r="63" spans="1:8">
      <c r="A63" s="100" t="s">
        <v>253</v>
      </c>
      <c r="B63" s="101" t="s">
        <v>33</v>
      </c>
      <c r="C63" s="55">
        <v>744763</v>
      </c>
      <c r="D63" s="1218"/>
      <c r="E63" s="1218"/>
      <c r="F63" s="84"/>
      <c r="G63" s="85"/>
      <c r="H63" s="72"/>
    </row>
    <row r="64" spans="1:8">
      <c r="A64" s="100" t="s">
        <v>39</v>
      </c>
      <c r="B64" s="101" t="s">
        <v>35</v>
      </c>
      <c r="C64" s="55">
        <v>17661</v>
      </c>
      <c r="D64" s="1218"/>
      <c r="E64" s="1218"/>
      <c r="F64" s="84"/>
      <c r="G64" s="85"/>
      <c r="H64" s="72"/>
    </row>
    <row r="65" spans="1:8">
      <c r="A65" s="102" t="s">
        <v>254</v>
      </c>
      <c r="B65" s="101" t="s">
        <v>153</v>
      </c>
      <c r="C65" s="55">
        <v>0</v>
      </c>
      <c r="D65" s="1218" t="s">
        <v>499</v>
      </c>
      <c r="E65" s="1218"/>
      <c r="F65" s="84"/>
      <c r="G65" s="85"/>
      <c r="H65" s="72"/>
    </row>
    <row r="66" spans="1:8">
      <c r="A66" s="102" t="s">
        <v>255</v>
      </c>
      <c r="B66" s="103" t="s">
        <v>216</v>
      </c>
      <c r="C66" s="55">
        <v>0</v>
      </c>
      <c r="D66" s="1218" t="s">
        <v>499</v>
      </c>
      <c r="E66" s="1218"/>
      <c r="F66" s="84"/>
      <c r="G66" s="85"/>
      <c r="H66" s="72"/>
    </row>
    <row r="67" spans="1:8">
      <c r="A67" s="97">
        <v>13</v>
      </c>
      <c r="B67" s="104" t="s">
        <v>256</v>
      </c>
      <c r="C67" s="57">
        <f>SUM(C68:C69)</f>
        <v>38115</v>
      </c>
      <c r="D67" s="1218"/>
      <c r="E67" s="1218"/>
      <c r="F67" s="84"/>
      <c r="G67" s="85"/>
      <c r="H67" s="72"/>
    </row>
    <row r="68" spans="1:8">
      <c r="A68" s="100" t="s">
        <v>156</v>
      </c>
      <c r="B68" s="103" t="s">
        <v>40</v>
      </c>
      <c r="C68" s="55">
        <v>14149</v>
      </c>
      <c r="D68" s="1218"/>
      <c r="E68" s="1218"/>
      <c r="F68" s="84"/>
      <c r="G68" s="85"/>
      <c r="H68" s="72"/>
    </row>
    <row r="69" spans="1:8">
      <c r="A69" s="100" t="s">
        <v>157</v>
      </c>
      <c r="B69" s="103" t="s">
        <v>41</v>
      </c>
      <c r="C69" s="55">
        <v>23966</v>
      </c>
      <c r="D69" s="1218"/>
      <c r="E69" s="1218"/>
      <c r="F69" s="84"/>
      <c r="G69" s="85"/>
      <c r="H69" s="72"/>
    </row>
    <row r="70" spans="1:8">
      <c r="A70" s="95">
        <v>14</v>
      </c>
      <c r="B70" s="82" t="s">
        <v>257</v>
      </c>
      <c r="C70" s="57">
        <v>1808</v>
      </c>
      <c r="D70" s="1218"/>
      <c r="E70" s="1218"/>
      <c r="F70" s="84"/>
      <c r="G70" s="85"/>
      <c r="H70" s="72"/>
    </row>
    <row r="71" spans="1:8">
      <c r="A71" s="105" t="s">
        <v>42</v>
      </c>
      <c r="B71" s="106" t="s">
        <v>155</v>
      </c>
      <c r="C71" s="55">
        <v>1808</v>
      </c>
      <c r="D71" s="1219"/>
      <c r="E71" s="1219"/>
      <c r="F71" s="81"/>
      <c r="G71" s="85"/>
      <c r="H71" s="72"/>
    </row>
    <row r="72" spans="1:8">
      <c r="A72" s="105" t="s">
        <v>43</v>
      </c>
      <c r="B72" s="107" t="s">
        <v>258</v>
      </c>
      <c r="C72" s="55">
        <v>0</v>
      </c>
      <c r="D72" s="84" t="s">
        <v>499</v>
      </c>
      <c r="E72" s="81"/>
      <c r="F72" s="81"/>
      <c r="G72" s="85"/>
      <c r="H72" s="72"/>
    </row>
    <row r="73" spans="1:8">
      <c r="A73" s="105" t="s">
        <v>45</v>
      </c>
      <c r="B73" s="108" t="s">
        <v>44</v>
      </c>
      <c r="C73" s="55">
        <v>0</v>
      </c>
      <c r="D73" s="1218" t="s">
        <v>499</v>
      </c>
      <c r="E73" s="1218"/>
      <c r="F73" s="84"/>
      <c r="G73" s="85"/>
      <c r="H73" s="72"/>
    </row>
    <row r="74" spans="1:8">
      <c r="A74" s="105" t="s">
        <v>154</v>
      </c>
      <c r="B74" s="108" t="s">
        <v>46</v>
      </c>
      <c r="C74" s="55">
        <v>0</v>
      </c>
      <c r="D74" s="1218" t="s">
        <v>499</v>
      </c>
      <c r="E74" s="1218"/>
      <c r="F74" s="84"/>
      <c r="G74" s="85"/>
      <c r="H74" s="72"/>
    </row>
    <row r="75" spans="1:8">
      <c r="A75" s="109" t="s">
        <v>259</v>
      </c>
      <c r="B75" s="108" t="s">
        <v>104</v>
      </c>
      <c r="C75" s="55">
        <v>0</v>
      </c>
      <c r="D75" s="1218"/>
      <c r="E75" s="1218"/>
      <c r="F75" s="84"/>
      <c r="G75" s="85"/>
      <c r="H75" s="72"/>
    </row>
    <row r="76" spans="1:8">
      <c r="A76" s="110">
        <v>15</v>
      </c>
      <c r="B76" s="82" t="s">
        <v>260</v>
      </c>
      <c r="C76" s="58">
        <v>1972221</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c r="A80" s="95">
        <v>16</v>
      </c>
      <c r="B80" s="112" t="s">
        <v>262</v>
      </c>
      <c r="C80" s="59">
        <f>SUM(C81:C85)</f>
        <v>28779</v>
      </c>
      <c r="D80" s="84"/>
      <c r="E80" s="84"/>
      <c r="F80" s="84"/>
      <c r="G80" s="85"/>
      <c r="H80" s="72"/>
    </row>
    <row r="81" spans="1:8">
      <c r="A81" s="109" t="s">
        <v>263</v>
      </c>
      <c r="B81" s="85" t="s">
        <v>264</v>
      </c>
      <c r="C81" s="55">
        <v>24000</v>
      </c>
      <c r="D81" s="85" t="s">
        <v>500</v>
      </c>
      <c r="E81" s="84"/>
      <c r="F81" s="84"/>
      <c r="H81" s="72"/>
    </row>
    <row r="82" spans="1:8" ht="25.5">
      <c r="A82" s="109" t="s">
        <v>192</v>
      </c>
      <c r="B82" s="113" t="s">
        <v>207</v>
      </c>
      <c r="C82" s="55">
        <v>0</v>
      </c>
      <c r="D82" s="84"/>
      <c r="E82" s="84"/>
      <c r="F82" s="84"/>
      <c r="G82" s="85"/>
      <c r="H82" s="72"/>
    </row>
    <row r="83" spans="1:8">
      <c r="A83" s="109" t="s">
        <v>193</v>
      </c>
      <c r="B83" s="85" t="s">
        <v>158</v>
      </c>
      <c r="C83" s="199">
        <v>4779</v>
      </c>
      <c r="D83" s="84"/>
      <c r="E83" s="84"/>
      <c r="F83" s="84"/>
      <c r="G83" s="85"/>
      <c r="H83" s="72"/>
    </row>
    <row r="84" spans="1:8">
      <c r="A84" s="109" t="s">
        <v>265</v>
      </c>
      <c r="B84" s="85" t="s">
        <v>159</v>
      </c>
      <c r="C84" s="55">
        <v>0</v>
      </c>
      <c r="D84" s="84"/>
      <c r="E84" s="84"/>
      <c r="F84" s="84"/>
      <c r="G84" s="85"/>
      <c r="H84" s="72"/>
    </row>
    <row r="85" spans="1:8">
      <c r="A85" s="109" t="s">
        <v>266</v>
      </c>
      <c r="B85" s="85" t="s">
        <v>160</v>
      </c>
      <c r="C85" s="55">
        <v>0</v>
      </c>
      <c r="D85" s="84"/>
      <c r="E85" s="84"/>
      <c r="F85" s="84"/>
      <c r="G85" s="85"/>
      <c r="H85" s="72"/>
    </row>
    <row r="86" spans="1:8">
      <c r="A86" s="110">
        <v>17</v>
      </c>
      <c r="B86" s="111" t="s">
        <v>191</v>
      </c>
      <c r="C86" s="59"/>
      <c r="D86" s="1218"/>
      <c r="E86" s="1218"/>
      <c r="F86" s="84"/>
      <c r="G86" s="82"/>
      <c r="H86" s="83"/>
    </row>
    <row r="87" spans="1:8">
      <c r="A87" s="110">
        <v>18</v>
      </c>
      <c r="B87" s="82" t="s">
        <v>267</v>
      </c>
      <c r="C87" s="57">
        <f>SUM(C88:C90)</f>
        <v>14457</v>
      </c>
      <c r="D87" s="1218"/>
      <c r="E87" s="1218"/>
      <c r="F87" s="84"/>
      <c r="G87" s="85"/>
      <c r="H87" s="72"/>
    </row>
    <row r="88" spans="1:8">
      <c r="A88" s="105" t="s">
        <v>268</v>
      </c>
      <c r="B88" s="114" t="s">
        <v>47</v>
      </c>
      <c r="C88" s="55">
        <v>2417</v>
      </c>
      <c r="D88" s="1218"/>
      <c r="E88" s="1218"/>
      <c r="F88" s="84"/>
      <c r="G88" s="85"/>
      <c r="H88" s="72"/>
    </row>
    <row r="89" spans="1:8">
      <c r="A89" s="105" t="s">
        <v>269</v>
      </c>
      <c r="B89" s="114" t="s">
        <v>48</v>
      </c>
      <c r="C89" s="55">
        <v>12040</v>
      </c>
      <c r="D89" s="1218"/>
      <c r="E89" s="1218"/>
      <c r="F89" s="84"/>
      <c r="G89" s="85"/>
      <c r="H89" s="72"/>
    </row>
    <row r="90" spans="1:8">
      <c r="A90" s="105" t="s">
        <v>270</v>
      </c>
      <c r="B90" s="114" t="s">
        <v>105</v>
      </c>
      <c r="C90" s="96"/>
      <c r="D90" s="1218"/>
      <c r="E90" s="1218"/>
      <c r="F90" s="84"/>
      <c r="G90" s="85"/>
      <c r="H90" s="72"/>
    </row>
    <row r="91" spans="1:8">
      <c r="A91" s="110">
        <v>19</v>
      </c>
      <c r="B91" s="85" t="s">
        <v>205</v>
      </c>
      <c r="C91" s="96">
        <v>98121</v>
      </c>
      <c r="D91" s="1218"/>
      <c r="E91" s="1218"/>
      <c r="F91" s="84"/>
      <c r="G91" s="85"/>
      <c r="H91" s="72"/>
    </row>
    <row r="92" spans="1:8" ht="38.25">
      <c r="A92" s="110">
        <v>20</v>
      </c>
      <c r="B92" s="113" t="s">
        <v>106</v>
      </c>
      <c r="C92" s="96">
        <v>177794</v>
      </c>
      <c r="D92" s="1218"/>
      <c r="E92" s="1218"/>
      <c r="F92" s="84"/>
      <c r="G92" s="85"/>
      <c r="H92" s="72"/>
    </row>
    <row r="93" spans="1:8">
      <c r="A93" s="110">
        <v>21</v>
      </c>
      <c r="B93" s="85" t="s">
        <v>103</v>
      </c>
      <c r="C93" s="96">
        <v>103390</v>
      </c>
      <c r="D93" s="1218"/>
      <c r="E93" s="1218"/>
      <c r="F93" s="84"/>
      <c r="G93" s="85"/>
      <c r="H93" s="72"/>
    </row>
    <row r="94" spans="1:8" ht="25.5">
      <c r="A94" s="110">
        <v>22</v>
      </c>
      <c r="B94" s="113" t="s">
        <v>107</v>
      </c>
      <c r="C94" s="115">
        <v>0</v>
      </c>
      <c r="D94" s="1218"/>
      <c r="E94" s="1218"/>
      <c r="F94" s="116"/>
      <c r="G94" s="117"/>
      <c r="H94" s="80"/>
    </row>
    <row r="95" spans="1:8" ht="25.5">
      <c r="A95" s="110">
        <v>23</v>
      </c>
      <c r="B95" s="113" t="s">
        <v>271</v>
      </c>
      <c r="C95" s="118">
        <f>SUM(C53,C76,C80,C86,C87,C91,C92,C93,C94)</f>
        <v>6660376</v>
      </c>
      <c r="D95" s="1218"/>
      <c r="E95" s="1218"/>
      <c r="F95" s="84"/>
      <c r="G95" s="85"/>
      <c r="H95" s="72"/>
    </row>
    <row r="96" spans="1:8">
      <c r="A96" s="109" t="s">
        <v>108</v>
      </c>
      <c r="B96" s="114" t="s">
        <v>49</v>
      </c>
      <c r="C96" s="96">
        <v>0</v>
      </c>
      <c r="D96" s="1218"/>
      <c r="E96" s="1218"/>
      <c r="F96" s="84"/>
      <c r="G96" s="85"/>
      <c r="H96" s="72"/>
    </row>
    <row r="97" spans="1:8" ht="15">
      <c r="A97" s="110">
        <v>24</v>
      </c>
      <c r="B97" s="85" t="s">
        <v>272</v>
      </c>
      <c r="C97" s="119">
        <f>SUM(C95,C96)</f>
        <v>6660376</v>
      </c>
      <c r="D97" s="1218"/>
      <c r="E97" s="1218"/>
      <c r="F97" s="84"/>
      <c r="G97" s="85"/>
      <c r="H97" s="72"/>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3"/>
      <c r="B101" s="1208" t="s">
        <v>273</v>
      </c>
      <c r="C101" s="1210"/>
      <c r="D101" s="1203"/>
      <c r="E101" s="1203"/>
      <c r="F101" s="123"/>
      <c r="G101" s="1211"/>
      <c r="H101" s="124"/>
    </row>
    <row r="102" spans="1:8" ht="23.25" customHeight="1">
      <c r="A102" s="1203"/>
      <c r="B102" s="1209"/>
      <c r="C102" s="1203"/>
      <c r="D102" s="1203"/>
      <c r="E102" s="1203"/>
      <c r="F102" s="125"/>
      <c r="G102" s="1212"/>
      <c r="H102" s="124"/>
    </row>
    <row r="103" spans="1:8">
      <c r="A103" s="30">
        <v>25</v>
      </c>
      <c r="B103" s="6" t="s">
        <v>274</v>
      </c>
      <c r="C103" s="51">
        <f>SUM(C104,C107:C110)</f>
        <v>22416</v>
      </c>
      <c r="D103" s="51">
        <f>SUM(D104,D107:D110)</f>
        <v>1558</v>
      </c>
      <c r="E103" s="34">
        <v>1108503</v>
      </c>
      <c r="F103" s="34"/>
      <c r="G103" s="10"/>
      <c r="H103" s="3"/>
    </row>
    <row r="104" spans="1:8">
      <c r="A104" s="25" t="s">
        <v>91</v>
      </c>
      <c r="B104" s="13" t="s">
        <v>53</v>
      </c>
      <c r="C104" s="51">
        <v>12511</v>
      </c>
      <c r="D104" s="51">
        <v>1313</v>
      </c>
      <c r="E104" s="34">
        <v>922632</v>
      </c>
      <c r="F104" s="34"/>
      <c r="G104" s="10"/>
      <c r="H104" s="3"/>
    </row>
    <row r="105" spans="1:8">
      <c r="A105" s="25" t="s">
        <v>194</v>
      </c>
      <c r="B105" s="35" t="s">
        <v>54</v>
      </c>
      <c r="C105" s="34">
        <v>10535</v>
      </c>
      <c r="D105" s="34">
        <v>1313</v>
      </c>
      <c r="E105" s="34" t="s">
        <v>201</v>
      </c>
      <c r="F105" s="34"/>
      <c r="G105" s="10"/>
      <c r="H105" s="3"/>
    </row>
    <row r="106" spans="1:8">
      <c r="A106" s="25" t="s">
        <v>195</v>
      </c>
      <c r="B106" s="35" t="s">
        <v>55</v>
      </c>
      <c r="C106" s="34">
        <v>1976</v>
      </c>
      <c r="D106" s="25">
        <v>0</v>
      </c>
      <c r="E106" s="34" t="s">
        <v>201</v>
      </c>
      <c r="F106" s="34"/>
      <c r="G106" s="10"/>
      <c r="H106" s="3"/>
    </row>
    <row r="107" spans="1:8">
      <c r="A107" s="25" t="s">
        <v>93</v>
      </c>
      <c r="B107" s="13" t="s">
        <v>56</v>
      </c>
      <c r="C107" s="34">
        <v>749</v>
      </c>
      <c r="D107" s="34">
        <v>125</v>
      </c>
      <c r="E107" s="34">
        <v>123734</v>
      </c>
      <c r="F107" s="34"/>
      <c r="G107" s="10"/>
      <c r="H107" s="3"/>
    </row>
    <row r="108" spans="1:8">
      <c r="A108" s="25" t="s">
        <v>275</v>
      </c>
      <c r="B108" s="13" t="s">
        <v>57</v>
      </c>
      <c r="C108" s="34">
        <v>540</v>
      </c>
      <c r="D108" s="34">
        <v>44</v>
      </c>
      <c r="E108" s="34">
        <v>11617</v>
      </c>
      <c r="F108" s="34"/>
      <c r="G108" s="10"/>
      <c r="H108" s="3"/>
    </row>
    <row r="109" spans="1:8">
      <c r="A109" s="25" t="s">
        <v>276</v>
      </c>
      <c r="B109" s="13" t="s">
        <v>58</v>
      </c>
      <c r="C109" s="34">
        <v>941</v>
      </c>
      <c r="D109" s="34">
        <v>21</v>
      </c>
      <c r="E109" s="34">
        <v>24038</v>
      </c>
      <c r="F109" s="34"/>
      <c r="G109" s="10"/>
      <c r="H109" s="3"/>
    </row>
    <row r="110" spans="1:8">
      <c r="A110" s="27" t="s">
        <v>277</v>
      </c>
      <c r="B110" s="13" t="s">
        <v>139</v>
      </c>
      <c r="C110" s="51">
        <v>7675</v>
      </c>
      <c r="D110" s="51">
        <v>55</v>
      </c>
      <c r="E110" s="34">
        <v>26482</v>
      </c>
      <c r="F110" s="34"/>
      <c r="G110" s="10"/>
      <c r="H110" s="3"/>
    </row>
    <row r="111" spans="1:8">
      <c r="A111" s="30">
        <v>26</v>
      </c>
      <c r="B111" s="18" t="s">
        <v>278</v>
      </c>
      <c r="C111" s="34">
        <v>26779</v>
      </c>
      <c r="D111" s="34">
        <v>688</v>
      </c>
      <c r="E111" s="34">
        <v>1014082</v>
      </c>
      <c r="F111" s="34"/>
      <c r="G111" s="10"/>
      <c r="H111" s="3"/>
    </row>
    <row r="112" spans="1:8">
      <c r="A112" s="25" t="s">
        <v>92</v>
      </c>
      <c r="B112" s="13" t="s">
        <v>59</v>
      </c>
      <c r="C112" s="34" t="s">
        <v>475</v>
      </c>
      <c r="D112" s="34" t="s">
        <v>475</v>
      </c>
      <c r="E112" s="34">
        <v>59802</v>
      </c>
      <c r="F112" s="34"/>
      <c r="G112" s="10" t="s">
        <v>501</v>
      </c>
      <c r="H112" s="3"/>
    </row>
    <row r="113" spans="1:8">
      <c r="A113" s="27" t="s">
        <v>94</v>
      </c>
      <c r="B113" s="13" t="s">
        <v>164</v>
      </c>
      <c r="C113" s="34" t="s">
        <v>475</v>
      </c>
      <c r="D113" s="34" t="s">
        <v>475</v>
      </c>
      <c r="E113" s="34">
        <v>59302</v>
      </c>
      <c r="F113" s="34"/>
      <c r="G113" s="10" t="s">
        <v>501</v>
      </c>
      <c r="H113" s="3"/>
    </row>
    <row r="114" spans="1:8">
      <c r="A114" s="25"/>
      <c r="B114" s="13"/>
      <c r="C114" s="34"/>
      <c r="D114" s="34"/>
      <c r="E114" s="34"/>
      <c r="F114" s="34"/>
      <c r="G114" s="10"/>
      <c r="H114" s="3"/>
    </row>
    <row r="115" spans="1:8" ht="38.25">
      <c r="A115" s="36">
        <v>27</v>
      </c>
      <c r="B115" s="33" t="s">
        <v>279</v>
      </c>
      <c r="C115" s="51">
        <f>SUM(C116+C119)</f>
        <v>0</v>
      </c>
      <c r="D115" s="51">
        <f>SUM(D116+D119)</f>
        <v>0</v>
      </c>
      <c r="E115" s="34">
        <f>E116+E119</f>
        <v>39872</v>
      </c>
      <c r="F115" s="34"/>
      <c r="G115" s="10"/>
      <c r="H115" s="3"/>
    </row>
    <row r="116" spans="1:8" ht="25.5">
      <c r="A116" s="30" t="s">
        <v>196</v>
      </c>
      <c r="B116" s="126" t="s">
        <v>280</v>
      </c>
      <c r="C116" s="52">
        <f>SUM(C117,C118)</f>
        <v>0</v>
      </c>
      <c r="D116" s="52">
        <f>SUM(D117:D118)</f>
        <v>0</v>
      </c>
      <c r="E116" s="34">
        <f>E117+E118</f>
        <v>29983</v>
      </c>
      <c r="F116" s="25"/>
      <c r="G116" s="10"/>
      <c r="H116" s="3"/>
    </row>
    <row r="117" spans="1:8">
      <c r="A117" s="25" t="s">
        <v>281</v>
      </c>
      <c r="B117" s="35" t="s">
        <v>124</v>
      </c>
      <c r="C117" s="34" t="s">
        <v>475</v>
      </c>
      <c r="D117" s="34" t="s">
        <v>475</v>
      </c>
      <c r="E117" s="34">
        <v>1057</v>
      </c>
      <c r="F117" s="25"/>
      <c r="G117" s="10" t="s">
        <v>502</v>
      </c>
      <c r="H117" s="3"/>
    </row>
    <row r="118" spans="1:8">
      <c r="A118" s="25" t="s">
        <v>282</v>
      </c>
      <c r="B118" s="35" t="s">
        <v>125</v>
      </c>
      <c r="C118" s="34" t="s">
        <v>475</v>
      </c>
      <c r="D118" s="34" t="s">
        <v>475</v>
      </c>
      <c r="E118" s="25">
        <f>123+28803</f>
        <v>28926</v>
      </c>
      <c r="F118" s="25"/>
      <c r="G118" s="10"/>
      <c r="H118" s="3"/>
    </row>
    <row r="119" spans="1:8" ht="25.5">
      <c r="A119" s="30" t="s">
        <v>283</v>
      </c>
      <c r="B119" s="126" t="s">
        <v>284</v>
      </c>
      <c r="C119" s="52">
        <f>SUM(C120:C122)</f>
        <v>0</v>
      </c>
      <c r="D119" s="52">
        <f>SUM(D120:D122)</f>
        <v>0</v>
      </c>
      <c r="E119" s="34">
        <v>9889</v>
      </c>
      <c r="F119" s="25"/>
      <c r="G119" s="10" t="s">
        <v>502</v>
      </c>
      <c r="H119" s="3"/>
    </row>
    <row r="120" spans="1:8">
      <c r="A120" s="25" t="s">
        <v>285</v>
      </c>
      <c r="B120" s="35" t="s">
        <v>126</v>
      </c>
      <c r="C120" s="34" t="s">
        <v>475</v>
      </c>
      <c r="D120" s="34" t="s">
        <v>475</v>
      </c>
      <c r="E120" s="25">
        <v>67</v>
      </c>
      <c r="F120" s="25"/>
      <c r="G120" s="10" t="s">
        <v>502</v>
      </c>
      <c r="H120" s="3"/>
    </row>
    <row r="121" spans="1:8">
      <c r="A121" s="27" t="s">
        <v>286</v>
      </c>
      <c r="B121" s="35" t="s">
        <v>287</v>
      </c>
      <c r="C121" s="34" t="s">
        <v>475</v>
      </c>
      <c r="D121" s="34" t="s">
        <v>475</v>
      </c>
      <c r="E121" s="25" t="s">
        <v>475</v>
      </c>
      <c r="F121" s="25"/>
      <c r="G121" s="10" t="s">
        <v>499</v>
      </c>
      <c r="H121" s="3"/>
    </row>
    <row r="122" spans="1:8">
      <c r="A122" s="25" t="s">
        <v>288</v>
      </c>
      <c r="B122" s="35" t="s">
        <v>218</v>
      </c>
      <c r="C122" s="34" t="s">
        <v>475</v>
      </c>
      <c r="D122" s="34" t="s">
        <v>475</v>
      </c>
      <c r="E122" s="34">
        <v>9822</v>
      </c>
      <c r="F122" s="25"/>
      <c r="G122" s="10" t="s">
        <v>502</v>
      </c>
      <c r="H122" s="3"/>
    </row>
    <row r="123" spans="1:8">
      <c r="A123" s="25"/>
      <c r="B123" s="35"/>
      <c r="C123" s="25"/>
      <c r="D123" s="25"/>
      <c r="E123" s="25"/>
      <c r="F123" s="25"/>
      <c r="G123" s="10"/>
      <c r="H123" s="3"/>
    </row>
    <row r="124" spans="1:8">
      <c r="A124" s="25" t="s">
        <v>86</v>
      </c>
      <c r="B124" s="25"/>
      <c r="C124" s="25"/>
      <c r="D124" s="25"/>
      <c r="E124" s="25"/>
      <c r="F124" s="25"/>
      <c r="G124" s="10"/>
      <c r="H124" s="3"/>
    </row>
    <row r="125" spans="1:8">
      <c r="A125" s="30">
        <v>28</v>
      </c>
      <c r="B125" s="6" t="s">
        <v>289</v>
      </c>
      <c r="C125" s="52">
        <f>SUM(C126:C127)</f>
        <v>1429</v>
      </c>
      <c r="D125" s="52">
        <f>SUM(D126:D127)</f>
        <v>178</v>
      </c>
      <c r="E125" s="34">
        <v>90549</v>
      </c>
      <c r="F125" s="25"/>
      <c r="G125" s="10"/>
      <c r="H125" s="3"/>
    </row>
    <row r="126" spans="1:8">
      <c r="A126" s="25" t="s">
        <v>127</v>
      </c>
      <c r="B126" s="24" t="s">
        <v>40</v>
      </c>
      <c r="C126" s="25">
        <f>807</f>
        <v>807</v>
      </c>
      <c r="D126" s="25">
        <v>162</v>
      </c>
      <c r="E126" s="34">
        <v>82319</v>
      </c>
      <c r="F126" s="25"/>
      <c r="G126" s="10"/>
      <c r="H126" s="3"/>
    </row>
    <row r="127" spans="1:8">
      <c r="A127" s="25" t="s">
        <v>129</v>
      </c>
      <c r="B127" s="24" t="s">
        <v>41</v>
      </c>
      <c r="C127" s="25">
        <f>540+82</f>
        <v>622</v>
      </c>
      <c r="D127" s="25">
        <v>16</v>
      </c>
      <c r="E127" s="34">
        <f>8230+82</f>
        <v>8312</v>
      </c>
      <c r="F127" s="25"/>
      <c r="G127" s="10"/>
      <c r="H127" s="3"/>
    </row>
    <row r="128" spans="1:8">
      <c r="A128" s="25"/>
      <c r="C128" s="25"/>
      <c r="D128" s="25"/>
      <c r="E128" s="25"/>
      <c r="F128" s="25"/>
      <c r="G128" s="10"/>
      <c r="H128" s="3"/>
    </row>
    <row r="129" spans="1:10">
      <c r="A129" s="30">
        <v>29</v>
      </c>
      <c r="B129" s="6" t="s">
        <v>290</v>
      </c>
      <c r="C129" s="25"/>
      <c r="D129" s="25"/>
      <c r="E129" s="25"/>
      <c r="F129" s="25"/>
      <c r="G129" s="10"/>
      <c r="H129" s="3"/>
    </row>
    <row r="130" spans="1:10">
      <c r="A130" s="30" t="s">
        <v>165</v>
      </c>
      <c r="B130" s="6" t="s">
        <v>37</v>
      </c>
      <c r="C130" s="25">
        <v>277</v>
      </c>
      <c r="D130" s="25">
        <v>143</v>
      </c>
      <c r="E130" s="25">
        <v>143312</v>
      </c>
      <c r="F130" s="25"/>
      <c r="G130" s="10" t="s">
        <v>503</v>
      </c>
      <c r="H130" s="3"/>
    </row>
    <row r="131" spans="1:10">
      <c r="A131" s="30" t="s">
        <v>166</v>
      </c>
      <c r="B131" s="6" t="s">
        <v>79</v>
      </c>
      <c r="C131" s="25">
        <v>66</v>
      </c>
      <c r="D131" s="25">
        <v>0</v>
      </c>
      <c r="E131" s="34">
        <v>1896</v>
      </c>
      <c r="F131" s="25"/>
      <c r="G131" s="10"/>
      <c r="H131" s="3"/>
    </row>
    <row r="132" spans="1:10">
      <c r="A132" s="30" t="s">
        <v>291</v>
      </c>
      <c r="B132" s="29" t="s">
        <v>222</v>
      </c>
      <c r="C132" s="30">
        <v>17</v>
      </c>
      <c r="D132" s="30">
        <v>0</v>
      </c>
      <c r="E132" s="30">
        <v>756</v>
      </c>
      <c r="F132" s="30"/>
      <c r="G132" s="6"/>
      <c r="H132" s="122"/>
    </row>
    <row r="133" spans="1:10">
      <c r="A133" s="30" t="s">
        <v>292</v>
      </c>
      <c r="B133" s="29" t="s">
        <v>293</v>
      </c>
      <c r="C133" s="30">
        <f>C134+C135</f>
        <v>3762</v>
      </c>
      <c r="D133" s="30">
        <f t="shared" ref="D133:E133" si="0">D134+D135</f>
        <v>238</v>
      </c>
      <c r="E133" s="30">
        <f t="shared" si="0"/>
        <v>1588973</v>
      </c>
      <c r="F133" s="30"/>
      <c r="G133" s="6"/>
      <c r="H133" s="122"/>
    </row>
    <row r="134" spans="1:10">
      <c r="A134" s="30" t="s">
        <v>294</v>
      </c>
      <c r="B134" s="29" t="s">
        <v>223</v>
      </c>
      <c r="C134" s="30">
        <v>3581</v>
      </c>
      <c r="D134" s="25">
        <v>238</v>
      </c>
      <c r="E134" s="25">
        <v>325070</v>
      </c>
      <c r="F134" s="25"/>
      <c r="G134" s="10" t="s">
        <v>503</v>
      </c>
      <c r="H134" s="122"/>
      <c r="J134" s="63"/>
    </row>
    <row r="135" spans="1:10">
      <c r="A135" s="30" t="s">
        <v>295</v>
      </c>
      <c r="B135" s="37" t="s">
        <v>224</v>
      </c>
      <c r="C135" s="25">
        <v>181</v>
      </c>
      <c r="D135" s="25">
        <v>0</v>
      </c>
      <c r="E135" s="34">
        <v>1263903</v>
      </c>
      <c r="F135" s="25"/>
      <c r="G135" s="10"/>
      <c r="H135" s="122"/>
    </row>
    <row r="136" spans="1:10">
      <c r="A136" s="30" t="s">
        <v>296</v>
      </c>
      <c r="B136" s="37" t="s">
        <v>225</v>
      </c>
      <c r="C136" s="30">
        <v>3538</v>
      </c>
      <c r="D136" s="25">
        <v>1478</v>
      </c>
      <c r="E136" s="25">
        <v>270958</v>
      </c>
      <c r="F136" s="25"/>
      <c r="G136" s="10" t="s">
        <v>503</v>
      </c>
      <c r="H136" s="122"/>
    </row>
    <row r="137" spans="1:10">
      <c r="A137" s="25"/>
      <c r="B137" s="6" t="s">
        <v>297</v>
      </c>
      <c r="C137" s="25"/>
      <c r="D137" s="25"/>
      <c r="E137" s="25"/>
      <c r="F137" s="25"/>
      <c r="G137" s="10"/>
      <c r="H137" s="3"/>
    </row>
    <row r="138" spans="1:10">
      <c r="A138" s="38" t="s">
        <v>298</v>
      </c>
      <c r="B138" s="37" t="s">
        <v>197</v>
      </c>
      <c r="C138" s="34" t="s">
        <v>475</v>
      </c>
      <c r="D138" s="34" t="s">
        <v>475</v>
      </c>
      <c r="E138" s="30">
        <v>9</v>
      </c>
      <c r="F138" s="30"/>
      <c r="G138" s="6"/>
      <c r="H138" s="122"/>
    </row>
    <row r="139" spans="1:10">
      <c r="A139" s="38" t="s">
        <v>299</v>
      </c>
      <c r="B139" s="37" t="s">
        <v>198</v>
      </c>
      <c r="C139" s="34" t="s">
        <v>475</v>
      </c>
      <c r="D139" s="34" t="s">
        <v>475</v>
      </c>
      <c r="E139" s="30">
        <f>458+759+47+38+304+48+49+90+243</f>
        <v>2036</v>
      </c>
      <c r="F139" s="30"/>
      <c r="G139" s="6"/>
      <c r="H139" s="122"/>
    </row>
    <row r="140" spans="1:10">
      <c r="A140" s="38" t="s">
        <v>300</v>
      </c>
      <c r="B140" s="37" t="s">
        <v>199</v>
      </c>
      <c r="C140" s="34" t="s">
        <v>475</v>
      </c>
      <c r="D140" s="34" t="s">
        <v>475</v>
      </c>
      <c r="E140" s="30" t="s">
        <v>475</v>
      </c>
      <c r="F140" s="30"/>
      <c r="G140" s="6"/>
      <c r="H140" s="122"/>
    </row>
    <row r="141" spans="1:10">
      <c r="A141" s="38" t="s">
        <v>301</v>
      </c>
      <c r="B141" s="37" t="s">
        <v>200</v>
      </c>
      <c r="C141" s="30" t="s">
        <v>201</v>
      </c>
      <c r="D141" s="30" t="s">
        <v>201</v>
      </c>
      <c r="E141" s="30" t="s">
        <v>201</v>
      </c>
      <c r="F141" s="30"/>
      <c r="G141" s="6"/>
      <c r="H141" s="122"/>
    </row>
    <row r="142" spans="1:10">
      <c r="A142" s="30" t="s">
        <v>302</v>
      </c>
      <c r="B142" s="37" t="s">
        <v>220</v>
      </c>
      <c r="C142" s="25">
        <v>56</v>
      </c>
      <c r="D142" s="25">
        <v>15</v>
      </c>
      <c r="E142" s="34">
        <v>15493</v>
      </c>
      <c r="F142" s="30"/>
      <c r="G142" s="6"/>
      <c r="H142" s="122"/>
    </row>
    <row r="143" spans="1:10">
      <c r="A143" s="30" t="s">
        <v>303</v>
      </c>
      <c r="B143" s="37" t="s">
        <v>221</v>
      </c>
      <c r="C143" s="30">
        <v>0</v>
      </c>
      <c r="D143" s="30">
        <v>0</v>
      </c>
      <c r="E143" s="30">
        <v>0</v>
      </c>
      <c r="F143" s="30"/>
      <c r="G143" s="6"/>
      <c r="H143" s="122"/>
    </row>
    <row r="144" spans="1:10">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c r="A147" s="38">
        <v>30</v>
      </c>
      <c r="B147" s="6" t="s">
        <v>304</v>
      </c>
      <c r="C147" s="53">
        <f>SUM(C148:C149)</f>
        <v>1844297</v>
      </c>
    </row>
    <row r="148" spans="1:9">
      <c r="A148" s="27" t="s">
        <v>169</v>
      </c>
      <c r="B148" s="10" t="s">
        <v>167</v>
      </c>
      <c r="C148" s="60">
        <v>1109305</v>
      </c>
    </row>
    <row r="149" spans="1:9">
      <c r="A149" s="27" t="s">
        <v>171</v>
      </c>
      <c r="B149" s="10" t="s">
        <v>168</v>
      </c>
      <c r="C149" s="60">
        <v>734992</v>
      </c>
    </row>
    <row r="150" spans="1:9" ht="24.75">
      <c r="A150" s="38">
        <v>31</v>
      </c>
      <c r="B150" s="33" t="s">
        <v>305</v>
      </c>
      <c r="C150" s="9"/>
    </row>
    <row r="151" spans="1:9">
      <c r="A151" s="27" t="s">
        <v>137</v>
      </c>
      <c r="B151" s="10" t="s">
        <v>170</v>
      </c>
      <c r="C151" s="9">
        <v>324605</v>
      </c>
    </row>
    <row r="152" spans="1:9">
      <c r="A152" s="27" t="s">
        <v>138</v>
      </c>
      <c r="B152" s="10" t="s">
        <v>172</v>
      </c>
      <c r="C152" s="9">
        <v>683779</v>
      </c>
    </row>
    <row r="153" spans="1:9">
      <c r="A153" s="27"/>
      <c r="B153" s="10"/>
      <c r="C153" s="9"/>
    </row>
    <row r="154" spans="1:9">
      <c r="A154" s="30"/>
      <c r="B154" s="1201" t="s">
        <v>306</v>
      </c>
      <c r="C154" s="1202"/>
    </row>
    <row r="155" spans="1:9">
      <c r="A155" s="30">
        <v>32</v>
      </c>
      <c r="B155" s="26" t="s">
        <v>307</v>
      </c>
      <c r="C155" s="52">
        <f>SUM(C156,C157,C163)</f>
        <v>382148</v>
      </c>
    </row>
    <row r="156" spans="1:9" ht="15.75">
      <c r="A156" s="25" t="s">
        <v>308</v>
      </c>
      <c r="B156" s="28" t="s">
        <v>69</v>
      </c>
      <c r="C156" s="200">
        <f>348537+1243+608</f>
        <v>350388</v>
      </c>
    </row>
    <row r="157" spans="1:9">
      <c r="A157" s="27" t="s">
        <v>309</v>
      </c>
      <c r="B157" s="28" t="s">
        <v>70</v>
      </c>
      <c r="C157" s="25" t="s">
        <v>475</v>
      </c>
      <c r="E157" t="s">
        <v>504</v>
      </c>
    </row>
    <row r="158" spans="1:9" ht="15.75">
      <c r="A158" s="30">
        <v>33</v>
      </c>
      <c r="B158" s="41" t="s">
        <v>71</v>
      </c>
      <c r="C158" s="200">
        <f>31179+320+1207</f>
        <v>32706</v>
      </c>
    </row>
    <row r="159" spans="1:9">
      <c r="A159" s="30">
        <v>34</v>
      </c>
      <c r="B159" s="26" t="s">
        <v>310</v>
      </c>
      <c r="C159" s="52">
        <f>SUM(C160:C162)</f>
        <v>6994</v>
      </c>
    </row>
    <row r="160" spans="1:9" ht="15.75">
      <c r="A160" s="25" t="s">
        <v>173</v>
      </c>
      <c r="B160" s="28" t="s">
        <v>72</v>
      </c>
      <c r="C160" s="201">
        <v>329</v>
      </c>
    </row>
    <row r="161" spans="1:7" ht="15.75">
      <c r="A161" s="27" t="s">
        <v>175</v>
      </c>
      <c r="B161" s="28" t="s">
        <v>73</v>
      </c>
      <c r="C161" s="200">
        <v>6665</v>
      </c>
    </row>
    <row r="162" spans="1:7">
      <c r="A162" s="27" t="s">
        <v>177</v>
      </c>
      <c r="B162" s="28" t="s">
        <v>214</v>
      </c>
      <c r="C162" s="25" t="s">
        <v>475</v>
      </c>
      <c r="E162" t="s">
        <v>504</v>
      </c>
    </row>
    <row r="163" spans="1:7">
      <c r="A163" s="23">
        <v>35</v>
      </c>
      <c r="B163" s="26" t="s">
        <v>311</v>
      </c>
      <c r="C163" s="52">
        <f>SUM(C164:C166)</f>
        <v>31760</v>
      </c>
    </row>
    <row r="164" spans="1:7" ht="15.75">
      <c r="A164" s="39" t="s">
        <v>312</v>
      </c>
      <c r="B164" s="41" t="s">
        <v>174</v>
      </c>
      <c r="C164" s="200">
        <v>4928</v>
      </c>
    </row>
    <row r="165" spans="1:7" ht="15.75">
      <c r="A165" s="27" t="s">
        <v>313</v>
      </c>
      <c r="B165" s="41" t="s">
        <v>176</v>
      </c>
      <c r="C165" s="202">
        <v>26832</v>
      </c>
    </row>
    <row r="166" spans="1:7">
      <c r="A166" s="27" t="s">
        <v>314</v>
      </c>
      <c r="B166" s="41" t="s">
        <v>178</v>
      </c>
      <c r="C166" s="25" t="s">
        <v>475</v>
      </c>
      <c r="E166" t="s">
        <v>504</v>
      </c>
    </row>
    <row r="168" spans="1:7">
      <c r="A168" s="23"/>
      <c r="B168" s="129" t="s">
        <v>87</v>
      </c>
      <c r="C168" s="127"/>
      <c r="D168" s="127"/>
      <c r="E168" s="130"/>
      <c r="F168" s="131"/>
    </row>
    <row r="169" spans="1:7">
      <c r="A169" s="23">
        <v>36</v>
      </c>
      <c r="B169" s="132" t="s">
        <v>74</v>
      </c>
      <c r="C169" s="25">
        <v>3943</v>
      </c>
      <c r="D169" s="134"/>
      <c r="E169" s="46"/>
      <c r="F169" s="46"/>
      <c r="G169" s="135"/>
    </row>
    <row r="170" spans="1:7">
      <c r="A170" s="23">
        <v>37</v>
      </c>
      <c r="B170" s="41" t="s">
        <v>75</v>
      </c>
      <c r="C170" s="25">
        <v>2388</v>
      </c>
      <c r="D170" s="134"/>
      <c r="E170" s="46"/>
      <c r="F170" s="46"/>
      <c r="G170" s="135"/>
    </row>
    <row r="171" spans="1:7">
      <c r="A171" s="23">
        <v>38</v>
      </c>
      <c r="B171" s="26" t="s">
        <v>315</v>
      </c>
      <c r="C171" s="52">
        <f>SUM(C172:C174)</f>
        <v>6083</v>
      </c>
      <c r="D171" s="137"/>
      <c r="E171" s="138"/>
      <c r="F171" s="138"/>
      <c r="G171" s="138"/>
    </row>
    <row r="172" spans="1:7">
      <c r="A172" s="39" t="s">
        <v>118</v>
      </c>
      <c r="B172" s="28" t="s">
        <v>208</v>
      </c>
      <c r="C172" s="25">
        <v>2415</v>
      </c>
      <c r="D172" s="134"/>
      <c r="E172" s="46"/>
      <c r="F172" s="46"/>
      <c r="G172" s="135"/>
    </row>
    <row r="173" spans="1:7">
      <c r="A173" s="39" t="s">
        <v>119</v>
      </c>
      <c r="B173" s="28" t="s">
        <v>209</v>
      </c>
      <c r="C173" s="25">
        <v>202</v>
      </c>
      <c r="D173" s="134"/>
      <c r="E173" s="46"/>
      <c r="F173" s="46"/>
      <c r="G173" s="135"/>
    </row>
    <row r="174" spans="1:7">
      <c r="A174" s="27" t="s">
        <v>120</v>
      </c>
      <c r="B174" s="28" t="s">
        <v>210</v>
      </c>
      <c r="C174" s="25">
        <v>3466</v>
      </c>
      <c r="D174" s="134"/>
      <c r="E174" s="46"/>
      <c r="F174" s="46"/>
      <c r="G174" s="135"/>
    </row>
    <row r="175" spans="1:7">
      <c r="A175" s="23">
        <v>39</v>
      </c>
      <c r="B175" s="26" t="s">
        <v>316</v>
      </c>
      <c r="C175" s="52">
        <f>SUM(C176:C178)</f>
        <v>17483</v>
      </c>
      <c r="D175" s="134"/>
      <c r="E175" s="46"/>
      <c r="F175" s="46"/>
      <c r="G175" s="135"/>
    </row>
    <row r="176" spans="1:7">
      <c r="A176" s="39" t="s">
        <v>317</v>
      </c>
      <c r="B176" s="28" t="s">
        <v>76</v>
      </c>
      <c r="C176" s="203">
        <v>4094</v>
      </c>
      <c r="D176" s="134"/>
      <c r="E176" s="46"/>
      <c r="F176" s="46"/>
      <c r="G176" s="135"/>
    </row>
    <row r="177" spans="1:7">
      <c r="A177" s="39" t="s">
        <v>318</v>
      </c>
      <c r="B177" s="28" t="s">
        <v>77</v>
      </c>
      <c r="C177" s="25">
        <v>19</v>
      </c>
      <c r="D177" s="134"/>
      <c r="E177" s="46"/>
      <c r="F177" s="46"/>
      <c r="G177" s="135"/>
    </row>
    <row r="178" spans="1:7">
      <c r="A178" s="27" t="s">
        <v>319</v>
      </c>
      <c r="B178" s="28" t="s">
        <v>78</v>
      </c>
      <c r="C178" s="25">
        <v>13370</v>
      </c>
      <c r="D178" s="134"/>
      <c r="E178" s="46"/>
      <c r="F178" s="46"/>
      <c r="G178" s="135"/>
    </row>
    <row r="179" spans="1:7">
      <c r="A179" s="39"/>
      <c r="B179" s="28"/>
      <c r="C179" s="25"/>
      <c r="D179" s="134"/>
      <c r="E179" s="46"/>
      <c r="F179" s="46"/>
      <c r="G179" s="135"/>
    </row>
    <row r="180" spans="1:7" ht="25.5">
      <c r="A180" s="39"/>
      <c r="B180" s="139" t="s">
        <v>88</v>
      </c>
      <c r="C180" s="25"/>
      <c r="D180" s="134"/>
      <c r="E180" s="46"/>
      <c r="F180" s="46"/>
      <c r="G180" s="135"/>
    </row>
    <row r="181" spans="1:7">
      <c r="A181" s="23">
        <v>40</v>
      </c>
      <c r="B181" s="41" t="s">
        <v>74</v>
      </c>
      <c r="C181" s="25">
        <f>332+13</f>
        <v>345</v>
      </c>
      <c r="D181" s="134"/>
      <c r="E181" s="46"/>
      <c r="F181" s="46"/>
      <c r="G181" s="135"/>
    </row>
    <row r="182" spans="1:7">
      <c r="A182" s="23">
        <v>41</v>
      </c>
      <c r="B182" s="41" t="s">
        <v>75</v>
      </c>
      <c r="C182" s="25">
        <v>2246</v>
      </c>
      <c r="D182" s="134"/>
      <c r="E182" s="46"/>
      <c r="F182" s="46"/>
      <c r="G182" s="135"/>
    </row>
    <row r="183" spans="1:7">
      <c r="A183" s="23">
        <v>42</v>
      </c>
      <c r="B183" s="26" t="s">
        <v>320</v>
      </c>
      <c r="C183" s="52">
        <f>SUM(C184:C186)</f>
        <v>2591</v>
      </c>
      <c r="D183" s="134"/>
      <c r="E183" s="46"/>
      <c r="F183" s="46"/>
      <c r="G183" s="135"/>
    </row>
    <row r="184" spans="1:7">
      <c r="A184" s="39" t="s">
        <v>96</v>
      </c>
      <c r="B184" s="28" t="s">
        <v>211</v>
      </c>
      <c r="C184" s="25">
        <v>994</v>
      </c>
      <c r="D184" s="134"/>
      <c r="E184" s="46"/>
      <c r="F184" s="46"/>
      <c r="G184" s="135"/>
    </row>
    <row r="185" spans="1:7">
      <c r="A185" s="39" t="s">
        <v>97</v>
      </c>
      <c r="B185" s="28" t="s">
        <v>212</v>
      </c>
      <c r="C185" s="25">
        <v>91</v>
      </c>
      <c r="D185" s="140"/>
      <c r="E185" s="141"/>
      <c r="F185" s="46"/>
      <c r="G185" s="135"/>
    </row>
    <row r="186" spans="1:7">
      <c r="A186" s="27" t="s">
        <v>98</v>
      </c>
      <c r="B186" s="28" t="s">
        <v>213</v>
      </c>
      <c r="C186" s="25">
        <v>1506</v>
      </c>
      <c r="D186" s="25"/>
      <c r="E186" s="25"/>
      <c r="F186" s="46"/>
    </row>
    <row r="187" spans="1:7">
      <c r="A187" s="23">
        <v>43</v>
      </c>
      <c r="B187" s="26" t="s">
        <v>321</v>
      </c>
      <c r="C187" s="52">
        <f>SUM(C188:C190)</f>
        <v>6986</v>
      </c>
      <c r="D187" s="25"/>
      <c r="E187" s="25"/>
      <c r="F187" s="46"/>
    </row>
    <row r="188" spans="1:7">
      <c r="A188" s="39" t="s">
        <v>100</v>
      </c>
      <c r="B188" s="28" t="s">
        <v>76</v>
      </c>
      <c r="C188" s="203">
        <v>2083</v>
      </c>
      <c r="D188" s="25"/>
      <c r="E188" s="25"/>
      <c r="F188" s="46"/>
    </row>
    <row r="189" spans="1:7">
      <c r="A189" s="39" t="s">
        <v>101</v>
      </c>
      <c r="B189" s="28" t="s">
        <v>77</v>
      </c>
      <c r="C189" s="203">
        <v>67</v>
      </c>
      <c r="D189" s="25"/>
      <c r="E189" s="25"/>
      <c r="F189" s="46"/>
    </row>
    <row r="190" spans="1:7">
      <c r="A190" s="25" t="s">
        <v>102</v>
      </c>
      <c r="B190" s="13" t="s">
        <v>78</v>
      </c>
      <c r="C190" s="25">
        <v>4836</v>
      </c>
      <c r="D190" s="25"/>
      <c r="E190" s="25"/>
      <c r="F190" s="46"/>
    </row>
    <row r="191" spans="1:7">
      <c r="D191" s="142"/>
      <c r="E191" s="143"/>
    </row>
    <row r="192" spans="1:7">
      <c r="A192" s="25"/>
      <c r="B192" s="6" t="s">
        <v>322</v>
      </c>
      <c r="C192" s="40" t="s">
        <v>90</v>
      </c>
      <c r="D192" s="1203" t="s">
        <v>81</v>
      </c>
      <c r="E192" s="1203"/>
      <c r="F192" s="131"/>
    </row>
    <row r="193" spans="1:7">
      <c r="A193" s="25"/>
      <c r="B193" s="10"/>
      <c r="C193" s="40"/>
      <c r="D193" s="43" t="s">
        <v>82</v>
      </c>
      <c r="E193" s="43" t="s">
        <v>83</v>
      </c>
      <c r="F193" s="144"/>
    </row>
    <row r="194" spans="1:7">
      <c r="A194" s="30">
        <v>44</v>
      </c>
      <c r="B194" s="6" t="s">
        <v>323</v>
      </c>
      <c r="C194" s="54">
        <f>SUM(C195:C197)</f>
        <v>156</v>
      </c>
      <c r="D194" s="52">
        <f>SUM(D195:D197)</f>
        <v>0</v>
      </c>
      <c r="E194" s="52">
        <f>SUM(E195:E197)</f>
        <v>66</v>
      </c>
      <c r="F194" s="145"/>
    </row>
    <row r="195" spans="1:7">
      <c r="A195" s="25" t="s">
        <v>121</v>
      </c>
      <c r="B195" s="13" t="s">
        <v>181</v>
      </c>
      <c r="C195" s="40">
        <v>154</v>
      </c>
      <c r="D195" s="25">
        <v>0</v>
      </c>
      <c r="E195" s="25">
        <v>0</v>
      </c>
      <c r="F195" s="46"/>
    </row>
    <row r="196" spans="1:7">
      <c r="A196" s="25" t="s">
        <v>122</v>
      </c>
      <c r="B196" s="13" t="s">
        <v>182</v>
      </c>
      <c r="C196" s="40">
        <v>0</v>
      </c>
      <c r="D196" s="25">
        <v>0</v>
      </c>
      <c r="E196" s="25">
        <v>6</v>
      </c>
      <c r="F196" s="46"/>
    </row>
    <row r="197" spans="1:7">
      <c r="A197" s="27" t="s">
        <v>123</v>
      </c>
      <c r="B197" s="13" t="s">
        <v>180</v>
      </c>
      <c r="C197" s="40">
        <v>2</v>
      </c>
      <c r="D197" s="25">
        <v>0</v>
      </c>
      <c r="E197" s="25">
        <v>60</v>
      </c>
      <c r="F197" s="46"/>
    </row>
    <row r="198" spans="1:7">
      <c r="A198" s="30">
        <v>45</v>
      </c>
      <c r="B198" s="6" t="s">
        <v>324</v>
      </c>
      <c r="C198" s="54">
        <f>SUM(C199:C201)</f>
        <v>3767</v>
      </c>
      <c r="D198" s="52">
        <f>SUM(D199:D201)</f>
        <v>0</v>
      </c>
      <c r="E198" s="52">
        <f>SUM(E199:E201)</f>
        <v>5340</v>
      </c>
      <c r="F198" s="145"/>
    </row>
    <row r="199" spans="1:7">
      <c r="A199" s="25" t="s">
        <v>325</v>
      </c>
      <c r="B199" s="13" t="s">
        <v>80</v>
      </c>
      <c r="C199" s="40">
        <v>3675</v>
      </c>
      <c r="D199" s="25">
        <v>0</v>
      </c>
      <c r="E199" s="25">
        <v>5340</v>
      </c>
      <c r="F199" s="46"/>
    </row>
    <row r="200" spans="1:7">
      <c r="A200" s="25" t="s">
        <v>326</v>
      </c>
      <c r="B200" s="13" t="s">
        <v>60</v>
      </c>
      <c r="C200" s="40">
        <v>0</v>
      </c>
      <c r="D200" s="25">
        <v>0</v>
      </c>
      <c r="E200" s="25">
        <v>0</v>
      </c>
      <c r="F200" s="46"/>
    </row>
    <row r="201" spans="1:7">
      <c r="A201" s="27" t="s">
        <v>327</v>
      </c>
      <c r="B201" s="13" t="s">
        <v>180</v>
      </c>
      <c r="C201" s="40">
        <v>92</v>
      </c>
      <c r="D201" s="25">
        <v>0</v>
      </c>
      <c r="E201" s="25">
        <v>0</v>
      </c>
      <c r="F201" s="46"/>
    </row>
    <row r="202" spans="1:7">
      <c r="A202" s="44"/>
      <c r="B202" s="45"/>
      <c r="C202" s="46"/>
      <c r="D202" s="146"/>
      <c r="E202" s="147"/>
      <c r="F202" s="46"/>
    </row>
    <row r="203" spans="1:7">
      <c r="A203" s="30">
        <v>46</v>
      </c>
      <c r="B203" s="10" t="s">
        <v>203</v>
      </c>
      <c r="C203" s="40">
        <v>0</v>
      </c>
      <c r="D203" s="25"/>
      <c r="E203" s="25"/>
      <c r="F203" s="46"/>
    </row>
    <row r="204" spans="1:7">
      <c r="A204" s="30">
        <v>47</v>
      </c>
      <c r="B204" s="49" t="s">
        <v>204</v>
      </c>
      <c r="C204" s="40">
        <v>0</v>
      </c>
      <c r="D204" s="25"/>
      <c r="E204" s="25"/>
      <c r="F204" s="46"/>
    </row>
    <row r="205" spans="1:7">
      <c r="A205" s="30">
        <v>48</v>
      </c>
      <c r="B205" s="10" t="s">
        <v>179</v>
      </c>
      <c r="C205" s="40">
        <v>67</v>
      </c>
      <c r="D205" s="25"/>
      <c r="E205" s="25"/>
      <c r="F205" s="46"/>
    </row>
    <row r="206" spans="1:7">
      <c r="A206" s="30">
        <v>49</v>
      </c>
      <c r="B206" s="10" t="s">
        <v>61</v>
      </c>
      <c r="C206" s="40">
        <v>500</v>
      </c>
      <c r="D206" s="25"/>
      <c r="E206" s="25"/>
      <c r="F206" s="46"/>
      <c r="G206" t="s">
        <v>505</v>
      </c>
    </row>
    <row r="207" spans="1:7">
      <c r="A207" s="204">
        <v>50</v>
      </c>
      <c r="B207" s="48" t="s">
        <v>202</v>
      </c>
      <c r="C207" s="47"/>
      <c r="D207" s="149"/>
      <c r="E207" s="150"/>
      <c r="F207" s="47"/>
    </row>
    <row r="208" spans="1:7">
      <c r="A208" s="47"/>
      <c r="B208" s="151"/>
      <c r="C208" s="47"/>
      <c r="D208" s="47"/>
      <c r="E208" s="47"/>
      <c r="F208" s="47"/>
    </row>
    <row r="209" spans="1:6">
      <c r="A209" s="47"/>
      <c r="B209" s="6" t="s">
        <v>506</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f>SUM(C212:C227)</f>
        <v>513</v>
      </c>
      <c r="D211" s="52">
        <f>SUM(D212:D227)</f>
        <v>22</v>
      </c>
      <c r="E211" s="52">
        <f>SUM(E212:E227)</f>
        <v>884</v>
      </c>
      <c r="F211" s="10"/>
    </row>
    <row r="212" spans="1:6" s="1" customFormat="1">
      <c r="A212" s="27" t="s">
        <v>329</v>
      </c>
      <c r="B212" s="13" t="s">
        <v>226</v>
      </c>
      <c r="C212" s="9">
        <f>E212-45</f>
        <v>89</v>
      </c>
      <c r="D212" s="9">
        <v>0</v>
      </c>
      <c r="E212" s="9">
        <v>134</v>
      </c>
      <c r="F212" s="10"/>
    </row>
    <row r="213" spans="1:6" s="1" customFormat="1">
      <c r="A213" s="27" t="s">
        <v>330</v>
      </c>
      <c r="B213" s="35" t="s">
        <v>128</v>
      </c>
      <c r="C213" s="9">
        <v>0</v>
      </c>
      <c r="D213" s="9">
        <v>0</v>
      </c>
      <c r="E213" s="9">
        <v>0</v>
      </c>
      <c r="F213" s="10"/>
    </row>
    <row r="214" spans="1:6" s="1" customFormat="1">
      <c r="A214" s="27" t="s">
        <v>331</v>
      </c>
      <c r="B214" s="13" t="s">
        <v>227</v>
      </c>
      <c r="C214" s="9">
        <f>E214-205</f>
        <v>172</v>
      </c>
      <c r="D214" s="9">
        <v>0</v>
      </c>
      <c r="E214" s="9">
        <v>377</v>
      </c>
      <c r="F214" s="10"/>
    </row>
    <row r="215" spans="1:6" s="1" customFormat="1">
      <c r="A215" s="27" t="s">
        <v>332</v>
      </c>
      <c r="B215" s="35" t="s">
        <v>130</v>
      </c>
      <c r="C215" s="9">
        <f>E215-60</f>
        <v>244</v>
      </c>
      <c r="D215" s="9">
        <v>0</v>
      </c>
      <c r="E215" s="9">
        <v>304</v>
      </c>
      <c r="F215" s="10"/>
    </row>
    <row r="216" spans="1:6" s="1" customFormat="1">
      <c r="A216" s="27" t="s">
        <v>333</v>
      </c>
      <c r="B216" s="13" t="s">
        <v>232</v>
      </c>
      <c r="C216" s="9">
        <v>0</v>
      </c>
      <c r="D216" s="9">
        <v>0</v>
      </c>
      <c r="E216" s="9">
        <v>5</v>
      </c>
      <c r="F216" s="10"/>
    </row>
    <row r="217" spans="1:6" s="1" customFormat="1">
      <c r="A217" s="27" t="s">
        <v>334</v>
      </c>
      <c r="B217" s="35" t="s">
        <v>131</v>
      </c>
      <c r="C217" s="9">
        <v>0</v>
      </c>
      <c r="D217" s="9">
        <v>0</v>
      </c>
      <c r="E217" s="9">
        <v>0</v>
      </c>
      <c r="F217" s="10"/>
    </row>
    <row r="218" spans="1:6" s="1" customFormat="1">
      <c r="A218" s="27" t="s">
        <v>335</v>
      </c>
      <c r="B218" s="13" t="s">
        <v>233</v>
      </c>
      <c r="C218" s="9">
        <v>5</v>
      </c>
      <c r="D218" s="9">
        <v>19</v>
      </c>
      <c r="E218" s="9">
        <v>50</v>
      </c>
      <c r="F218" s="10"/>
    </row>
    <row r="219" spans="1:6" s="1" customFormat="1">
      <c r="A219" s="27" t="s">
        <v>336</v>
      </c>
      <c r="B219" s="35" t="s">
        <v>132</v>
      </c>
      <c r="C219" s="9">
        <v>0</v>
      </c>
      <c r="D219" s="9">
        <v>0</v>
      </c>
      <c r="E219" s="9">
        <v>0</v>
      </c>
      <c r="F219" s="10"/>
    </row>
    <row r="220" spans="1:6" s="1" customFormat="1">
      <c r="A220" s="27" t="s">
        <v>337</v>
      </c>
      <c r="B220" s="13" t="s">
        <v>234</v>
      </c>
      <c r="C220" s="9">
        <v>0</v>
      </c>
      <c r="D220" s="9">
        <v>0</v>
      </c>
      <c r="E220" s="9">
        <v>0</v>
      </c>
      <c r="F220" s="10"/>
    </row>
    <row r="221" spans="1:6" s="1" customFormat="1">
      <c r="A221" s="27" t="s">
        <v>338</v>
      </c>
      <c r="B221" s="35" t="s">
        <v>133</v>
      </c>
      <c r="C221" s="9">
        <v>1</v>
      </c>
      <c r="D221" s="9">
        <v>0</v>
      </c>
      <c r="E221" s="9">
        <v>11</v>
      </c>
      <c r="F221" s="10"/>
    </row>
    <row r="222" spans="1:6" s="1" customFormat="1">
      <c r="A222" s="27" t="s">
        <v>339</v>
      </c>
      <c r="B222" s="13" t="s">
        <v>235</v>
      </c>
      <c r="C222" s="9">
        <v>0</v>
      </c>
      <c r="D222" s="9">
        <v>1</v>
      </c>
      <c r="E222" s="9">
        <v>1</v>
      </c>
      <c r="F222" s="10"/>
    </row>
    <row r="223" spans="1:6" s="1" customFormat="1">
      <c r="A223" s="27" t="s">
        <v>340</v>
      </c>
      <c r="B223" s="35" t="s">
        <v>134</v>
      </c>
      <c r="C223" s="9">
        <v>0</v>
      </c>
      <c r="D223" s="9">
        <v>0</v>
      </c>
      <c r="E223" s="9">
        <v>0</v>
      </c>
      <c r="F223" s="10"/>
    </row>
    <row r="224" spans="1:6" s="1" customFormat="1">
      <c r="A224" s="27" t="s">
        <v>341</v>
      </c>
      <c r="B224" s="13" t="s">
        <v>236</v>
      </c>
      <c r="C224" s="9">
        <v>2</v>
      </c>
      <c r="D224" s="9">
        <v>2</v>
      </c>
      <c r="E224" s="9">
        <v>2</v>
      </c>
      <c r="F224" s="10"/>
    </row>
    <row r="225" spans="1:8" s="1" customFormat="1">
      <c r="A225" s="27" t="s">
        <v>342</v>
      </c>
      <c r="B225" s="35" t="s">
        <v>135</v>
      </c>
      <c r="C225" s="9">
        <v>0</v>
      </c>
      <c r="D225" s="9">
        <v>0</v>
      </c>
      <c r="E225" s="9">
        <v>0</v>
      </c>
      <c r="F225" s="10"/>
    </row>
    <row r="226" spans="1:8" s="1" customFormat="1">
      <c r="A226" s="27" t="s">
        <v>343</v>
      </c>
      <c r="B226" s="13" t="s">
        <v>237</v>
      </c>
      <c r="C226" s="9">
        <v>0</v>
      </c>
      <c r="D226" s="9">
        <v>0</v>
      </c>
      <c r="E226" s="9">
        <v>0</v>
      </c>
      <c r="F226" s="10"/>
    </row>
    <row r="227" spans="1:8" s="1" customFormat="1" ht="25.5">
      <c r="A227" s="27" t="s">
        <v>344</v>
      </c>
      <c r="B227" s="152" t="s">
        <v>136</v>
      </c>
      <c r="C227" s="9">
        <v>0</v>
      </c>
      <c r="D227" s="9">
        <v>0</v>
      </c>
      <c r="E227" s="9">
        <v>0</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205">
        <f>4329*2</f>
        <v>8658</v>
      </c>
      <c r="D230" s="47"/>
      <c r="E230" s="47"/>
      <c r="F230" s="47"/>
    </row>
    <row r="231" spans="1:8">
      <c r="A231" s="27" t="s">
        <v>347</v>
      </c>
      <c r="B231" s="152" t="s">
        <v>115</v>
      </c>
      <c r="C231" s="164">
        <v>0</v>
      </c>
      <c r="D231" s="47"/>
      <c r="E231" s="47"/>
      <c r="F231" s="47"/>
    </row>
    <row r="232" spans="1:8" ht="25.5">
      <c r="A232" s="27" t="s">
        <v>348</v>
      </c>
      <c r="B232" s="155" t="s">
        <v>239</v>
      </c>
      <c r="C232" s="164">
        <v>590</v>
      </c>
      <c r="D232" s="47"/>
      <c r="E232" s="47"/>
      <c r="F232" s="47"/>
      <c r="H232" t="s">
        <v>505</v>
      </c>
    </row>
    <row r="233" spans="1:8">
      <c r="A233" s="27" t="s">
        <v>349</v>
      </c>
      <c r="B233" s="152" t="s">
        <v>116</v>
      </c>
      <c r="C233" s="164">
        <v>0</v>
      </c>
      <c r="D233" s="47"/>
      <c r="E233" s="47"/>
      <c r="F233" s="47"/>
    </row>
    <row r="234" spans="1:8" ht="25.5">
      <c r="A234" s="27" t="s">
        <v>350</v>
      </c>
      <c r="B234" s="155" t="s">
        <v>240</v>
      </c>
      <c r="C234" s="164">
        <f>13*12</f>
        <v>156</v>
      </c>
      <c r="D234" s="47"/>
      <c r="E234" s="47"/>
      <c r="F234" s="47"/>
      <c r="H234" t="s">
        <v>505</v>
      </c>
    </row>
    <row r="235" spans="1:8">
      <c r="A235" s="27" t="s">
        <v>351</v>
      </c>
      <c r="B235" s="152" t="s">
        <v>117</v>
      </c>
      <c r="C235" s="206">
        <v>0</v>
      </c>
      <c r="D235" s="47"/>
      <c r="E235" s="47"/>
      <c r="F235" s="47"/>
    </row>
    <row r="236" spans="1:8">
      <c r="A236" s="158"/>
      <c r="B236" s="159"/>
      <c r="C236" s="47"/>
      <c r="D236" s="47"/>
      <c r="E236" s="47"/>
      <c r="F236" s="47"/>
    </row>
    <row r="237" spans="1:8" ht="15.75">
      <c r="A237" s="1199" t="s">
        <v>89</v>
      </c>
      <c r="B237" s="1204"/>
      <c r="C237" s="1204"/>
      <c r="D237" s="1204"/>
      <c r="E237" s="1204"/>
      <c r="F237" s="1204"/>
      <c r="G237" s="1205"/>
      <c r="H237" s="120"/>
    </row>
    <row r="238" spans="1:8">
      <c r="A238" s="25" t="s">
        <v>86</v>
      </c>
      <c r="B238" s="25" t="s">
        <v>8</v>
      </c>
      <c r="C238" s="25" t="s">
        <v>0</v>
      </c>
      <c r="D238" s="25"/>
      <c r="E238" s="40"/>
      <c r="F238" s="40"/>
      <c r="G238" s="10"/>
      <c r="H238" s="3"/>
    </row>
    <row r="239" spans="1:8">
      <c r="A239" s="30">
        <v>52</v>
      </c>
      <c r="B239" s="10" t="s">
        <v>62</v>
      </c>
      <c r="C239" s="25">
        <f>8+(4*(15.25))+4+9</f>
        <v>82</v>
      </c>
      <c r="D239" s="25"/>
      <c r="E239" s="40"/>
      <c r="F239" s="40"/>
      <c r="G239" s="10"/>
      <c r="H239" s="3"/>
    </row>
    <row r="240" spans="1:8">
      <c r="A240" s="30">
        <v>53</v>
      </c>
      <c r="B240" s="10" t="s">
        <v>63</v>
      </c>
      <c r="C240" s="61">
        <v>59864</v>
      </c>
      <c r="D240" s="25"/>
      <c r="E240" s="40"/>
      <c r="F240" s="40"/>
      <c r="G240" s="10"/>
      <c r="H240" s="3"/>
    </row>
    <row r="241" spans="1:10">
      <c r="A241" s="30">
        <v>54</v>
      </c>
      <c r="B241" s="10" t="s">
        <v>215</v>
      </c>
      <c r="C241" s="25">
        <f>(4*11)+8+4+6</f>
        <v>62</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217</v>
      </c>
      <c r="C245" s="52">
        <f>SUM(C246:C251)</f>
        <v>656</v>
      </c>
      <c r="D245" s="52">
        <f>SUM(D246:D251)</f>
        <v>669</v>
      </c>
      <c r="E245" s="54">
        <f>SUM(E246:E251)</f>
        <v>484</v>
      </c>
      <c r="F245" s="54">
        <f>SUM(F246:F251)</f>
        <v>176</v>
      </c>
      <c r="G245" s="52">
        <f>SUM(C245:F245)</f>
        <v>1985</v>
      </c>
      <c r="H245" s="145"/>
    </row>
    <row r="246" spans="1:10">
      <c r="A246" s="25" t="s">
        <v>353</v>
      </c>
      <c r="B246" s="13" t="s">
        <v>64</v>
      </c>
      <c r="C246" s="61">
        <v>573</v>
      </c>
      <c r="D246" s="61">
        <v>532</v>
      </c>
      <c r="E246" s="61">
        <v>350</v>
      </c>
      <c r="F246" s="61">
        <v>115</v>
      </c>
      <c r="G246" s="52">
        <f t="shared" ref="G246:G250" si="1">SUM(C246:F246)</f>
        <v>1570</v>
      </c>
      <c r="H246" s="3"/>
      <c r="J246" s="25"/>
    </row>
    <row r="247" spans="1:10">
      <c r="A247" s="27" t="s">
        <v>354</v>
      </c>
      <c r="B247" s="13" t="s">
        <v>65</v>
      </c>
      <c r="C247" s="25">
        <v>2</v>
      </c>
      <c r="D247" s="25">
        <v>1</v>
      </c>
      <c r="E247" s="40">
        <v>5</v>
      </c>
      <c r="F247" s="40">
        <v>21</v>
      </c>
      <c r="G247" s="52">
        <f t="shared" si="1"/>
        <v>29</v>
      </c>
      <c r="H247" s="3"/>
    </row>
    <row r="248" spans="1:10">
      <c r="A248" s="27" t="s">
        <v>355</v>
      </c>
      <c r="B248" s="13" t="s">
        <v>66</v>
      </c>
      <c r="C248" s="25">
        <v>3</v>
      </c>
      <c r="D248" s="25">
        <v>25</v>
      </c>
      <c r="E248" s="40">
        <v>25</v>
      </c>
      <c r="F248" s="40">
        <v>13</v>
      </c>
      <c r="G248" s="52">
        <f t="shared" si="1"/>
        <v>66</v>
      </c>
      <c r="H248" s="3"/>
    </row>
    <row r="249" spans="1:10">
      <c r="A249" s="27" t="s">
        <v>356</v>
      </c>
      <c r="B249" s="13" t="s">
        <v>67</v>
      </c>
      <c r="C249" s="25">
        <v>55</v>
      </c>
      <c r="D249" s="25">
        <v>90</v>
      </c>
      <c r="E249" s="40">
        <v>62</v>
      </c>
      <c r="F249" s="40">
        <v>5</v>
      </c>
      <c r="G249" s="52">
        <f t="shared" si="1"/>
        <v>212</v>
      </c>
      <c r="H249" s="3"/>
    </row>
    <row r="250" spans="1:10">
      <c r="A250" s="25" t="s">
        <v>357</v>
      </c>
      <c r="B250" s="13" t="s">
        <v>68</v>
      </c>
      <c r="C250" s="25">
        <v>23</v>
      </c>
      <c r="D250" s="25">
        <v>21</v>
      </c>
      <c r="E250" s="40">
        <v>42</v>
      </c>
      <c r="F250" s="40">
        <v>22</v>
      </c>
      <c r="G250" s="52">
        <f t="shared" si="1"/>
        <v>108</v>
      </c>
      <c r="H250" s="3"/>
    </row>
    <row r="251" spans="1:10" ht="24.75">
      <c r="A251" s="27" t="s">
        <v>358</v>
      </c>
      <c r="B251" s="155" t="s">
        <v>183</v>
      </c>
      <c r="C251" s="25" t="s">
        <v>475</v>
      </c>
      <c r="D251" s="25" t="s">
        <v>475</v>
      </c>
      <c r="E251" s="25" t="s">
        <v>475</v>
      </c>
      <c r="F251" s="25" t="s">
        <v>475</v>
      </c>
      <c r="G251" s="25" t="s">
        <v>475</v>
      </c>
      <c r="H251" s="3"/>
    </row>
    <row r="252" spans="1:10" ht="15">
      <c r="B252" s="207"/>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dimension ref="A1:J252"/>
  <sheetViews>
    <sheetView topLeftCell="A26" workbookViewId="0">
      <selection activeCell="D38" sqref="D38:E38"/>
    </sheetView>
  </sheetViews>
  <sheetFormatPr defaultRowHeight="12.75"/>
  <cols>
    <col min="1" max="1" width="11.28515625" customWidth="1"/>
    <col min="2" max="2" width="60.28515625" customWidth="1"/>
    <col min="3" max="3" width="11.28515625" customWidth="1"/>
    <col min="4" max="4" width="10.7109375" customWidth="1"/>
    <col min="5" max="5" width="23.85546875" bestFit="1" customWidth="1"/>
    <col min="6" max="6" width="6.28515625" customWidth="1"/>
    <col min="7" max="7" width="12.140625" customWidth="1"/>
    <col min="8" max="8" width="9.140625" customWidth="1"/>
  </cols>
  <sheetData>
    <row r="1" spans="1:8" ht="18">
      <c r="A1" s="65"/>
      <c r="B1" s="66" t="s">
        <v>241</v>
      </c>
      <c r="C1" s="66"/>
      <c r="D1" s="162" t="s">
        <v>393</v>
      </c>
      <c r="E1" s="67"/>
      <c r="F1" s="67"/>
      <c r="G1" s="208" t="s">
        <v>149</v>
      </c>
      <c r="H1" s="172"/>
    </row>
    <row r="2" spans="1:8">
      <c r="A2" s="69"/>
      <c r="B2" s="172"/>
      <c r="C2" s="69"/>
      <c r="D2" s="69"/>
      <c r="E2" s="69"/>
      <c r="F2" s="69"/>
      <c r="G2" s="172"/>
      <c r="H2" s="172"/>
    </row>
    <row r="3" spans="1:8" ht="15.75">
      <c r="A3" s="70" t="s">
        <v>161</v>
      </c>
      <c r="B3" s="194" t="s">
        <v>507</v>
      </c>
      <c r="C3" s="72"/>
      <c r="D3" s="73" t="s">
        <v>185</v>
      </c>
      <c r="E3" s="72"/>
      <c r="F3" s="72"/>
      <c r="G3" s="172"/>
      <c r="H3" s="172"/>
    </row>
    <row r="4" spans="1:8">
      <c r="A4" s="69"/>
      <c r="B4" s="172"/>
      <c r="C4" s="69"/>
      <c r="D4" s="69"/>
      <c r="E4" s="69"/>
      <c r="F4" s="69"/>
      <c r="G4" s="172"/>
      <c r="H4" s="172"/>
    </row>
    <row r="5" spans="1:8" ht="12.75" customHeight="1">
      <c r="A5" s="1231" t="s">
        <v>189</v>
      </c>
      <c r="B5" s="71" t="s">
        <v>508</v>
      </c>
      <c r="C5" s="72"/>
      <c r="D5" s="74" t="s">
        <v>186</v>
      </c>
      <c r="E5" s="72"/>
      <c r="F5" s="72"/>
      <c r="G5" s="172"/>
      <c r="H5" s="172"/>
    </row>
    <row r="6" spans="1:8" ht="20.25" customHeight="1">
      <c r="A6" s="1231"/>
      <c r="B6" s="72"/>
      <c r="C6" s="69"/>
      <c r="D6" s="75" t="s">
        <v>187</v>
      </c>
      <c r="E6" s="69"/>
      <c r="F6" s="69"/>
      <c r="G6" s="172"/>
      <c r="H6" s="172"/>
    </row>
    <row r="7" spans="1:8" ht="12.75" customHeight="1">
      <c r="A7" s="1231" t="s">
        <v>184</v>
      </c>
      <c r="B7" s="71" t="s">
        <v>509</v>
      </c>
      <c r="C7" s="72"/>
      <c r="D7" s="72"/>
      <c r="E7" s="72"/>
      <c r="F7" s="72"/>
      <c r="G7" s="172"/>
      <c r="H7" s="172"/>
    </row>
    <row r="8" spans="1:8">
      <c r="A8" s="1231"/>
      <c r="B8" s="172"/>
      <c r="C8" s="72"/>
      <c r="D8" s="75" t="s">
        <v>188</v>
      </c>
      <c r="E8" s="69"/>
      <c r="F8" s="69"/>
      <c r="G8" s="172"/>
      <c r="H8" s="172"/>
    </row>
    <row r="9" spans="1:8">
      <c r="A9" s="76" t="s">
        <v>190</v>
      </c>
      <c r="B9" s="173" t="s">
        <v>510</v>
      </c>
      <c r="C9" s="72"/>
      <c r="D9" s="69"/>
      <c r="E9" s="69"/>
      <c r="F9" s="69"/>
      <c r="G9" s="172"/>
      <c r="H9" s="172"/>
    </row>
    <row r="10" spans="1:8">
      <c r="A10" s="67"/>
      <c r="B10" s="172"/>
      <c r="C10" s="69"/>
      <c r="D10" s="77" t="s">
        <v>242</v>
      </c>
      <c r="E10" s="69"/>
      <c r="F10" s="78"/>
      <c r="G10" s="172"/>
      <c r="H10" s="172"/>
    </row>
    <row r="11" spans="1:8">
      <c r="A11" s="79" t="s">
        <v>162</v>
      </c>
      <c r="B11" s="71" t="s">
        <v>511</v>
      </c>
      <c r="C11" s="72"/>
      <c r="D11" s="69"/>
      <c r="E11" s="69"/>
      <c r="F11" s="69"/>
      <c r="G11" s="172"/>
      <c r="H11" s="172"/>
    </row>
    <row r="12" spans="1:8">
      <c r="A12" s="69"/>
      <c r="B12" s="172"/>
      <c r="C12" s="69"/>
      <c r="D12" s="67"/>
      <c r="E12" s="69"/>
      <c r="F12" s="69"/>
      <c r="G12" s="172"/>
      <c r="H12" s="172"/>
    </row>
    <row r="13" spans="1:8">
      <c r="A13" s="1232" t="s">
        <v>163</v>
      </c>
      <c r="B13" s="71"/>
      <c r="C13" s="72"/>
      <c r="D13" s="72"/>
      <c r="E13" s="69"/>
      <c r="F13" s="69"/>
      <c r="G13" s="172"/>
      <c r="H13" s="172"/>
    </row>
    <row r="14" spans="1:8">
      <c r="A14" s="1232"/>
      <c r="B14" s="172"/>
      <c r="C14" s="172"/>
      <c r="D14" s="172"/>
      <c r="E14" s="172"/>
      <c r="F14" s="172"/>
      <c r="G14" s="172"/>
      <c r="H14" s="172"/>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v>1</v>
      </c>
      <c r="D18" s="1218" t="s">
        <v>512</v>
      </c>
      <c r="E18" s="1218"/>
      <c r="F18" s="84"/>
      <c r="G18" s="85"/>
      <c r="H18" s="72"/>
    </row>
    <row r="19" spans="1:8" ht="25.5">
      <c r="A19" s="11" t="s">
        <v>111</v>
      </c>
      <c r="B19" s="86" t="s">
        <v>228</v>
      </c>
      <c r="C19" s="8">
        <v>7</v>
      </c>
      <c r="D19" s="1218" t="s">
        <v>513</v>
      </c>
      <c r="E19" s="1218"/>
      <c r="F19" s="84"/>
      <c r="G19" s="85"/>
      <c r="H19" s="72"/>
    </row>
    <row r="20" spans="1:8" ht="25.5">
      <c r="A20" s="11" t="s">
        <v>112</v>
      </c>
      <c r="B20" s="86" t="s">
        <v>229</v>
      </c>
      <c r="C20" s="8">
        <v>28</v>
      </c>
      <c r="D20" s="1330" t="s">
        <v>514</v>
      </c>
      <c r="E20" s="1330"/>
      <c r="F20" s="84"/>
      <c r="G20" s="85"/>
      <c r="H20" s="72"/>
    </row>
    <row r="21" spans="1:8" ht="25.5">
      <c r="A21" s="11" t="s">
        <v>113</v>
      </c>
      <c r="B21" s="87" t="s">
        <v>230</v>
      </c>
      <c r="C21" s="8">
        <v>1</v>
      </c>
      <c r="D21" s="1218" t="s">
        <v>515</v>
      </c>
      <c r="E21" s="1218"/>
      <c r="F21" s="84"/>
      <c r="G21" s="85"/>
      <c r="H21" s="72"/>
    </row>
    <row r="22" spans="1:8" ht="25.5">
      <c r="A22" s="11" t="s">
        <v>114</v>
      </c>
      <c r="B22" s="87" t="s">
        <v>231</v>
      </c>
      <c r="C22" s="14">
        <v>6</v>
      </c>
      <c r="D22" s="1218" t="s">
        <v>516</v>
      </c>
      <c r="E22" s="1218"/>
      <c r="F22" s="84"/>
      <c r="G22" s="85"/>
      <c r="H22" s="72"/>
    </row>
    <row r="23" spans="1:8">
      <c r="A23" s="1222"/>
      <c r="B23" s="1223"/>
      <c r="C23" s="1224"/>
      <c r="D23" s="1224"/>
      <c r="E23" s="1224"/>
      <c r="F23" s="1224"/>
      <c r="G23" s="1225"/>
      <c r="H23" s="80"/>
    </row>
    <row r="24" spans="1:8" ht="13.5">
      <c r="A24" s="1226" t="s">
        <v>360</v>
      </c>
      <c r="B24" s="1230"/>
      <c r="C24" s="1230"/>
      <c r="D24" s="1230"/>
      <c r="E24" s="1230"/>
      <c r="F24" s="1230"/>
      <c r="G24" s="1225"/>
      <c r="H24" s="80"/>
    </row>
    <row r="25" spans="1:8">
      <c r="A25" s="5" t="s">
        <v>86</v>
      </c>
      <c r="B25" s="5" t="s">
        <v>8</v>
      </c>
      <c r="C25" s="5" t="s">
        <v>2</v>
      </c>
      <c r="D25" s="1219" t="s">
        <v>149</v>
      </c>
      <c r="E25" s="1219"/>
      <c r="F25" s="81"/>
      <c r="G25" s="82"/>
      <c r="H25" s="83"/>
    </row>
    <row r="26" spans="1:8">
      <c r="A26" s="5">
        <v>2</v>
      </c>
      <c r="B26" s="7" t="s">
        <v>243</v>
      </c>
      <c r="C26" s="50">
        <f>SUM(C27:C30)</f>
        <v>24.23</v>
      </c>
      <c r="D26" s="1218"/>
      <c r="E26" s="1218"/>
      <c r="F26" s="84"/>
      <c r="G26" s="85"/>
      <c r="H26" s="72"/>
    </row>
    <row r="27" spans="1:8">
      <c r="A27" s="8" t="s">
        <v>3</v>
      </c>
      <c r="B27" s="12" t="s">
        <v>4</v>
      </c>
      <c r="C27" s="15">
        <v>20.23</v>
      </c>
      <c r="D27" s="1218"/>
      <c r="E27" s="1218"/>
      <c r="F27" s="84"/>
      <c r="G27" s="85"/>
      <c r="H27" s="72"/>
    </row>
    <row r="28" spans="1:8">
      <c r="A28" s="11" t="s">
        <v>5</v>
      </c>
      <c r="B28" s="12" t="s">
        <v>144</v>
      </c>
      <c r="C28" s="15">
        <v>4</v>
      </c>
      <c r="D28" s="1218"/>
      <c r="E28" s="1218"/>
      <c r="F28" s="84"/>
      <c r="G28" s="85"/>
      <c r="H28" s="72"/>
    </row>
    <row r="29" spans="1:8">
      <c r="A29" s="8" t="s">
        <v>145</v>
      </c>
      <c r="B29" s="12" t="s">
        <v>146</v>
      </c>
      <c r="C29" s="15">
        <v>0</v>
      </c>
      <c r="D29" s="1220"/>
      <c r="E29" s="1229"/>
      <c r="F29" s="174"/>
      <c r="G29" s="85"/>
      <c r="H29" s="72"/>
    </row>
    <row r="30" spans="1:8">
      <c r="A30" s="8" t="s">
        <v>244</v>
      </c>
      <c r="B30" s="12" t="s">
        <v>245</v>
      </c>
      <c r="C30" s="15">
        <v>0</v>
      </c>
      <c r="D30" s="88"/>
      <c r="E30" s="174"/>
      <c r="F30" s="174"/>
      <c r="G30" s="85"/>
      <c r="H30" s="72"/>
    </row>
    <row r="31" spans="1:8">
      <c r="A31" s="5">
        <v>3</v>
      </c>
      <c r="B31" s="7" t="s">
        <v>14</v>
      </c>
      <c r="C31" s="50">
        <f>SUM(C32:C34)</f>
        <v>35</v>
      </c>
      <c r="D31" s="1218"/>
      <c r="E31" s="1218"/>
      <c r="F31" s="84"/>
      <c r="G31" s="85"/>
      <c r="H31" s="72"/>
    </row>
    <row r="32" spans="1:8">
      <c r="A32" s="8" t="s">
        <v>6</v>
      </c>
      <c r="B32" s="12" t="s">
        <v>7</v>
      </c>
      <c r="C32" s="15">
        <f>5.5+10+11+2</f>
        <v>28.5</v>
      </c>
      <c r="D32" s="1218"/>
      <c r="E32" s="1218"/>
      <c r="F32" s="84"/>
      <c r="G32" s="85"/>
      <c r="H32" s="72"/>
    </row>
    <row r="33" spans="1:8">
      <c r="A33" s="11" t="s">
        <v>12</v>
      </c>
      <c r="B33" s="12" t="s">
        <v>15</v>
      </c>
      <c r="C33" s="15">
        <v>4.5</v>
      </c>
      <c r="D33" s="1218"/>
      <c r="E33" s="1218"/>
      <c r="F33" s="84"/>
      <c r="G33" s="85"/>
      <c r="H33" s="72"/>
    </row>
    <row r="34" spans="1:8">
      <c r="A34" s="11" t="s">
        <v>13</v>
      </c>
      <c r="B34" s="12" t="s">
        <v>148</v>
      </c>
      <c r="C34" s="15">
        <v>2</v>
      </c>
      <c r="D34" s="1218"/>
      <c r="E34" s="1218"/>
      <c r="F34" s="84"/>
      <c r="G34" s="85"/>
      <c r="H34" s="72"/>
    </row>
    <row r="35" spans="1:8">
      <c r="A35" s="5">
        <v>4</v>
      </c>
      <c r="B35" s="16" t="s">
        <v>17</v>
      </c>
      <c r="C35" s="15">
        <v>0</v>
      </c>
      <c r="D35" s="1218"/>
      <c r="E35" s="1218"/>
      <c r="F35" s="84"/>
      <c r="G35" s="85"/>
      <c r="H35" s="72"/>
    </row>
    <row r="36" spans="1:8">
      <c r="A36" s="11" t="s">
        <v>16</v>
      </c>
      <c r="B36" s="12" t="s">
        <v>84</v>
      </c>
      <c r="C36" s="15">
        <v>0</v>
      </c>
      <c r="D36" s="1218"/>
      <c r="E36" s="1218"/>
      <c r="F36" s="84"/>
      <c r="G36" s="85"/>
      <c r="H36" s="72"/>
    </row>
    <row r="37" spans="1:8" ht="25.5">
      <c r="A37" s="5">
        <v>5</v>
      </c>
      <c r="B37" s="90" t="s">
        <v>26</v>
      </c>
      <c r="C37" s="15">
        <v>10.28</v>
      </c>
      <c r="D37" s="1218"/>
      <c r="E37" s="1218"/>
      <c r="F37" s="84"/>
      <c r="G37" s="85"/>
      <c r="H37" s="72"/>
    </row>
    <row r="38" spans="1:8">
      <c r="A38" s="17" t="s">
        <v>147</v>
      </c>
      <c r="B38" s="16" t="s">
        <v>150</v>
      </c>
      <c r="C38" s="15">
        <v>0.3</v>
      </c>
      <c r="D38" s="1329"/>
      <c r="E38" s="1329"/>
      <c r="F38" s="81"/>
      <c r="G38" s="85"/>
      <c r="H38" s="72"/>
    </row>
    <row r="39" spans="1:8">
      <c r="A39" s="5">
        <v>6</v>
      </c>
      <c r="B39" s="7" t="s">
        <v>85</v>
      </c>
      <c r="C39" s="50">
        <f>SUM(C26+C31+C35+C37)</f>
        <v>69.510000000000005</v>
      </c>
      <c r="D39" s="1218"/>
      <c r="E39" s="1218"/>
      <c r="F39" s="84"/>
      <c r="G39" s="85"/>
      <c r="H39" s="72"/>
    </row>
    <row r="40" spans="1:8">
      <c r="A40" s="1222"/>
      <c r="B40" s="1223"/>
      <c r="C40" s="1224"/>
      <c r="D40" s="1224"/>
      <c r="E40" s="1224"/>
      <c r="F40" s="1224"/>
      <c r="G40" s="1225"/>
      <c r="H40" s="80"/>
    </row>
    <row r="41" spans="1:8" ht="15.75">
      <c r="A41" s="1226" t="s">
        <v>361</v>
      </c>
      <c r="B41" s="1227"/>
      <c r="C41" s="1227"/>
      <c r="D41" s="1227"/>
      <c r="E41" s="1227"/>
      <c r="F41" s="1227"/>
      <c r="G41" s="1228"/>
      <c r="H41" s="91"/>
    </row>
    <row r="42" spans="1:8">
      <c r="A42" s="5" t="s">
        <v>86</v>
      </c>
      <c r="B42" s="5" t="s">
        <v>8</v>
      </c>
      <c r="C42" s="5" t="s">
        <v>9</v>
      </c>
      <c r="D42" s="1219" t="s">
        <v>149</v>
      </c>
      <c r="E42" s="1219"/>
      <c r="F42" s="81"/>
      <c r="G42" s="82"/>
      <c r="H42" s="83"/>
    </row>
    <row r="43" spans="1:8">
      <c r="A43" s="5"/>
      <c r="B43" s="92" t="s">
        <v>10</v>
      </c>
      <c r="C43" s="1218"/>
      <c r="D43" s="1218"/>
      <c r="E43" s="1218"/>
      <c r="F43" s="84"/>
      <c r="G43" s="85"/>
      <c r="H43" s="72"/>
    </row>
    <row r="44" spans="1:8">
      <c r="A44" s="5">
        <v>7</v>
      </c>
      <c r="B44" s="7" t="s">
        <v>246</v>
      </c>
      <c r="C44" s="93">
        <f>SUM(C45:C47)</f>
        <v>1637111</v>
      </c>
      <c r="D44" s="1220"/>
      <c r="E44" s="1221"/>
      <c r="F44" s="84"/>
      <c r="G44" s="85"/>
      <c r="H44" s="72"/>
    </row>
    <row r="45" spans="1:8">
      <c r="A45" s="8" t="s">
        <v>11</v>
      </c>
      <c r="B45" s="12" t="s">
        <v>19</v>
      </c>
      <c r="C45" s="55">
        <v>1278765</v>
      </c>
      <c r="D45" s="1220"/>
      <c r="E45" s="1221"/>
      <c r="F45" s="84"/>
      <c r="G45" s="85"/>
      <c r="H45" s="72"/>
    </row>
    <row r="46" spans="1:8">
      <c r="A46" s="11" t="s">
        <v>18</v>
      </c>
      <c r="B46" s="12" t="s">
        <v>151</v>
      </c>
      <c r="C46" s="55">
        <v>358346</v>
      </c>
      <c r="D46" s="1220"/>
      <c r="E46" s="1221"/>
      <c r="F46" s="84"/>
      <c r="G46" s="85"/>
      <c r="H46" s="72"/>
    </row>
    <row r="47" spans="1:8">
      <c r="A47" s="8" t="s">
        <v>247</v>
      </c>
      <c r="B47" s="12" t="s">
        <v>248</v>
      </c>
      <c r="C47" s="59">
        <v>0</v>
      </c>
      <c r="D47" s="1220"/>
      <c r="E47" s="1221"/>
      <c r="F47" s="84"/>
      <c r="G47" s="85"/>
      <c r="H47" s="72"/>
    </row>
    <row r="48" spans="1:8">
      <c r="A48" s="5">
        <v>8</v>
      </c>
      <c r="B48" s="7" t="s">
        <v>109</v>
      </c>
      <c r="C48" s="93">
        <f>SUM(C49:C51)</f>
        <v>1410148</v>
      </c>
      <c r="D48" s="1220"/>
      <c r="E48" s="1221"/>
      <c r="F48" s="84"/>
      <c r="G48" s="85"/>
      <c r="H48" s="72"/>
    </row>
    <row r="49" spans="1:8">
      <c r="A49" s="19" t="s">
        <v>20</v>
      </c>
      <c r="B49" s="20" t="s">
        <v>23</v>
      </c>
      <c r="C49" s="55">
        <f>246634+427054+393845+58946</f>
        <v>1126479</v>
      </c>
      <c r="D49" s="1220"/>
      <c r="E49" s="1221"/>
      <c r="F49" s="84"/>
      <c r="G49" s="85"/>
      <c r="H49" s="72"/>
    </row>
    <row r="50" spans="1:8">
      <c r="A50" s="11" t="s">
        <v>21</v>
      </c>
      <c r="B50" s="12" t="s">
        <v>24</v>
      </c>
      <c r="C50" s="55">
        <f>34234+50617+43406+14193+35356</f>
        <v>177806</v>
      </c>
      <c r="D50" s="1220"/>
      <c r="E50" s="1221"/>
      <c r="F50" s="84"/>
      <c r="G50" s="85"/>
      <c r="H50" s="72"/>
    </row>
    <row r="51" spans="1:8">
      <c r="A51" s="11" t="s">
        <v>22</v>
      </c>
      <c r="B51" s="12" t="s">
        <v>25</v>
      </c>
      <c r="C51" s="55">
        <f>56477+49386</f>
        <v>105863</v>
      </c>
      <c r="D51" s="1220"/>
      <c r="E51" s="1221"/>
      <c r="F51" s="84"/>
      <c r="G51" s="85"/>
      <c r="H51" s="72"/>
    </row>
    <row r="52" spans="1:8" ht="25.5">
      <c r="A52" s="21">
        <v>9</v>
      </c>
      <c r="B52" s="22" t="s">
        <v>27</v>
      </c>
      <c r="C52" s="56">
        <f>137728+57137</f>
        <v>194865</v>
      </c>
      <c r="D52" s="1218"/>
      <c r="E52" s="1218"/>
      <c r="F52" s="84"/>
      <c r="G52" s="85"/>
      <c r="H52" s="72"/>
    </row>
    <row r="53" spans="1:8">
      <c r="A53" s="21">
        <v>10</v>
      </c>
      <c r="B53" s="22" t="s">
        <v>249</v>
      </c>
      <c r="C53" s="56">
        <f>SUM(C44+C48+C52)</f>
        <v>3242124</v>
      </c>
      <c r="D53" s="88"/>
      <c r="E53" s="94"/>
      <c r="F53" s="94"/>
      <c r="G53" s="85"/>
      <c r="H53" s="72"/>
    </row>
    <row r="54" spans="1:8">
      <c r="A54" s="21"/>
      <c r="B54" s="22"/>
      <c r="C54" s="55"/>
      <c r="D54" s="1220"/>
      <c r="E54" s="1221"/>
      <c r="F54" s="94"/>
      <c r="G54" s="85"/>
      <c r="H54" s="72"/>
    </row>
    <row r="55" spans="1:8">
      <c r="A55" s="95"/>
      <c r="B55" s="92" t="s">
        <v>250</v>
      </c>
      <c r="C55" s="96"/>
      <c r="D55" s="1219"/>
      <c r="E55" s="1218"/>
      <c r="F55" s="84"/>
      <c r="G55" s="85"/>
      <c r="H55" s="72"/>
    </row>
    <row r="56" spans="1:8" ht="25.5">
      <c r="A56" s="97">
        <v>11</v>
      </c>
      <c r="B56" s="98" t="s">
        <v>251</v>
      </c>
      <c r="C56" s="99">
        <f>SUM(C57:C59)</f>
        <v>358537</v>
      </c>
      <c r="D56" s="1218"/>
      <c r="E56" s="1218"/>
      <c r="F56" s="84"/>
      <c r="G56" s="85"/>
      <c r="H56" s="72"/>
    </row>
    <row r="57" spans="1:8">
      <c r="A57" s="100" t="s">
        <v>30</v>
      </c>
      <c r="B57" s="101" t="s">
        <v>28</v>
      </c>
      <c r="C57" s="55">
        <v>243505</v>
      </c>
      <c r="D57" s="1218"/>
      <c r="E57" s="1218"/>
      <c r="F57" s="84"/>
      <c r="G57" s="85"/>
      <c r="H57" s="72"/>
    </row>
    <row r="58" spans="1:8">
      <c r="A58" s="100" t="s">
        <v>32</v>
      </c>
      <c r="B58" s="101" t="s">
        <v>363</v>
      </c>
      <c r="C58" s="55">
        <v>17649</v>
      </c>
      <c r="D58" s="1218"/>
      <c r="E58" s="1218"/>
      <c r="F58" s="84"/>
      <c r="G58" s="85"/>
      <c r="H58" s="72"/>
    </row>
    <row r="59" spans="1:8">
      <c r="A59" s="100" t="s">
        <v>34</v>
      </c>
      <c r="B59" s="101" t="s">
        <v>29</v>
      </c>
      <c r="C59" s="55">
        <v>97383</v>
      </c>
      <c r="D59" s="1218"/>
      <c r="E59" s="1218"/>
      <c r="F59" s="84"/>
      <c r="G59" s="85"/>
      <c r="H59" s="72"/>
    </row>
    <row r="60" spans="1:8" ht="38.25">
      <c r="A60" s="97">
        <v>12</v>
      </c>
      <c r="B60" s="98" t="s">
        <v>252</v>
      </c>
      <c r="C60" s="57">
        <f>SUM(C61+C62+C64+C65+C66)</f>
        <v>1626053</v>
      </c>
      <c r="D60" s="1218"/>
      <c r="E60" s="1218"/>
      <c r="F60" s="84"/>
      <c r="G60" s="85"/>
      <c r="H60" s="72"/>
    </row>
    <row r="61" spans="1:8">
      <c r="A61" s="100" t="s">
        <v>36</v>
      </c>
      <c r="B61" s="101" t="s">
        <v>31</v>
      </c>
      <c r="C61" s="55">
        <v>462217</v>
      </c>
      <c r="D61" s="1218"/>
      <c r="E61" s="1218"/>
      <c r="F61" s="84"/>
      <c r="G61" s="85"/>
      <c r="H61" s="72"/>
    </row>
    <row r="62" spans="1:8">
      <c r="A62" s="100" t="s">
        <v>38</v>
      </c>
      <c r="B62" s="101" t="s">
        <v>206</v>
      </c>
      <c r="C62" s="55">
        <v>1134239</v>
      </c>
      <c r="D62" s="1218"/>
      <c r="E62" s="1218"/>
      <c r="F62" s="84"/>
      <c r="G62" s="85"/>
      <c r="H62" s="72"/>
    </row>
    <row r="63" spans="1:8">
      <c r="A63" s="100" t="s">
        <v>253</v>
      </c>
      <c r="B63" s="101" t="s">
        <v>33</v>
      </c>
      <c r="C63" s="55">
        <v>758263</v>
      </c>
      <c r="D63" s="1218"/>
      <c r="E63" s="1218"/>
      <c r="F63" s="84"/>
      <c r="G63" s="85"/>
      <c r="H63" s="72"/>
    </row>
    <row r="64" spans="1:8">
      <c r="A64" s="100" t="s">
        <v>39</v>
      </c>
      <c r="B64" s="101" t="s">
        <v>35</v>
      </c>
      <c r="C64" s="55">
        <v>1367</v>
      </c>
      <c r="D64" s="1218"/>
      <c r="E64" s="1218"/>
      <c r="F64" s="84"/>
      <c r="G64" s="85"/>
      <c r="H64" s="72"/>
    </row>
    <row r="65" spans="1:8">
      <c r="A65" s="102" t="s">
        <v>254</v>
      </c>
      <c r="B65" s="101" t="s">
        <v>153</v>
      </c>
      <c r="C65" s="55">
        <v>28230</v>
      </c>
      <c r="D65" s="1218"/>
      <c r="E65" s="1218"/>
      <c r="F65" s="84"/>
      <c r="G65" s="85"/>
      <c r="H65" s="72"/>
    </row>
    <row r="66" spans="1:8">
      <c r="A66" s="102" t="s">
        <v>255</v>
      </c>
      <c r="B66" s="103" t="s">
        <v>216</v>
      </c>
      <c r="C66" s="55">
        <v>0</v>
      </c>
      <c r="D66" s="1218"/>
      <c r="E66" s="1218"/>
      <c r="F66" s="84"/>
      <c r="G66" s="85"/>
      <c r="H66" s="72"/>
    </row>
    <row r="67" spans="1:8">
      <c r="A67" s="97">
        <v>13</v>
      </c>
      <c r="B67" s="104" t="s">
        <v>256</v>
      </c>
      <c r="C67" s="57">
        <f>SUM(C68:C69)</f>
        <v>5607</v>
      </c>
      <c r="D67" s="1218"/>
      <c r="E67" s="1218"/>
      <c r="F67" s="84"/>
      <c r="G67" s="85"/>
      <c r="H67" s="72"/>
    </row>
    <row r="68" spans="1:8">
      <c r="A68" s="100" t="s">
        <v>156</v>
      </c>
      <c r="B68" s="103" t="s">
        <v>40</v>
      </c>
      <c r="C68" s="55">
        <v>126</v>
      </c>
      <c r="D68" s="1218"/>
      <c r="E68" s="1218"/>
      <c r="F68" s="84"/>
      <c r="G68" s="85"/>
      <c r="H68" s="72"/>
    </row>
    <row r="69" spans="1:8">
      <c r="A69" s="100" t="s">
        <v>157</v>
      </c>
      <c r="B69" s="103" t="s">
        <v>41</v>
      </c>
      <c r="C69" s="55">
        <v>5481</v>
      </c>
      <c r="D69" s="1218"/>
      <c r="E69" s="1218"/>
      <c r="F69" s="84"/>
      <c r="G69" s="85"/>
      <c r="H69" s="72"/>
    </row>
    <row r="70" spans="1:8">
      <c r="A70" s="95">
        <v>14</v>
      </c>
      <c r="B70" s="82" t="s">
        <v>257</v>
      </c>
      <c r="C70" s="57">
        <f>+SUM(C71:C75)</f>
        <v>227</v>
      </c>
      <c r="D70" s="1218"/>
      <c r="E70" s="1218"/>
      <c r="F70" s="84"/>
      <c r="G70" s="85"/>
      <c r="H70" s="72"/>
    </row>
    <row r="71" spans="1:8">
      <c r="A71" s="105" t="s">
        <v>42</v>
      </c>
      <c r="B71" s="106" t="s">
        <v>155</v>
      </c>
      <c r="C71" s="55">
        <v>227</v>
      </c>
      <c r="D71" s="1219"/>
      <c r="E71" s="1219"/>
      <c r="F71" s="81"/>
      <c r="G71" s="85"/>
      <c r="H71" s="72"/>
    </row>
    <row r="72" spans="1:8">
      <c r="A72" s="105" t="s">
        <v>43</v>
      </c>
      <c r="B72" s="107" t="s">
        <v>258</v>
      </c>
      <c r="C72" s="55">
        <v>0</v>
      </c>
      <c r="D72" s="81"/>
      <c r="E72" s="81"/>
      <c r="F72" s="81"/>
      <c r="G72" s="85"/>
      <c r="H72" s="72"/>
    </row>
    <row r="73" spans="1:8">
      <c r="A73" s="105" t="s">
        <v>45</v>
      </c>
      <c r="B73" s="108" t="s">
        <v>44</v>
      </c>
      <c r="C73" s="55">
        <v>0</v>
      </c>
      <c r="D73" s="1218"/>
      <c r="E73" s="1218"/>
      <c r="F73" s="84"/>
      <c r="G73" s="85"/>
      <c r="H73" s="72"/>
    </row>
    <row r="74" spans="1:8">
      <c r="A74" s="105" t="s">
        <v>154</v>
      </c>
      <c r="B74" s="108" t="s">
        <v>46</v>
      </c>
      <c r="C74" s="55">
        <v>0</v>
      </c>
      <c r="D74" s="1218"/>
      <c r="E74" s="1218"/>
      <c r="F74" s="84"/>
      <c r="G74" s="85"/>
      <c r="H74" s="72"/>
    </row>
    <row r="75" spans="1:8">
      <c r="A75" s="109" t="s">
        <v>259</v>
      </c>
      <c r="B75" s="108" t="s">
        <v>104</v>
      </c>
      <c r="C75" s="55">
        <v>0</v>
      </c>
      <c r="D75" s="1218"/>
      <c r="E75" s="1218"/>
      <c r="F75" s="84"/>
      <c r="G75" s="85"/>
      <c r="H75" s="72"/>
    </row>
    <row r="76" spans="1:8">
      <c r="A76" s="110">
        <v>15</v>
      </c>
      <c r="B76" s="82" t="s">
        <v>260</v>
      </c>
      <c r="C76" s="58">
        <f>+C56+C60+C67+C70</f>
        <v>1990424</v>
      </c>
      <c r="D76" s="84"/>
      <c r="E76" s="84"/>
      <c r="F76" s="84"/>
      <c r="G76" s="85"/>
      <c r="H76" s="72"/>
    </row>
    <row r="77" spans="1:8">
      <c r="A77" s="109"/>
      <c r="B77" s="82"/>
      <c r="C77" s="58"/>
      <c r="D77" s="84"/>
      <c r="E77" s="84"/>
      <c r="F77" s="84"/>
      <c r="G77" s="85"/>
      <c r="H77" s="72"/>
    </row>
    <row r="78" spans="1:8">
      <c r="A78" s="109"/>
      <c r="B78" s="111" t="s">
        <v>261</v>
      </c>
      <c r="C78" s="55"/>
      <c r="D78" s="1218"/>
      <c r="E78" s="1218"/>
      <c r="F78" s="84"/>
      <c r="G78" s="85"/>
      <c r="H78" s="72"/>
    </row>
    <row r="79" spans="1:8">
      <c r="A79" s="109"/>
      <c r="C79" s="55"/>
      <c r="D79" s="84"/>
      <c r="E79" s="84"/>
      <c r="F79" s="84"/>
      <c r="G79" s="85"/>
      <c r="H79" s="72"/>
    </row>
    <row r="80" spans="1:8">
      <c r="A80" s="95">
        <v>16</v>
      </c>
      <c r="B80" s="112" t="s">
        <v>262</v>
      </c>
      <c r="C80" s="59">
        <f>SUM(C81:C85)</f>
        <v>182157.91999999998</v>
      </c>
      <c r="D80" s="84"/>
      <c r="E80" s="84"/>
      <c r="F80" s="84"/>
      <c r="G80" s="85"/>
      <c r="H80" s="72"/>
    </row>
    <row r="81" spans="1:8">
      <c r="A81" s="109" t="s">
        <v>263</v>
      </c>
      <c r="B81" s="85" t="s">
        <v>264</v>
      </c>
      <c r="C81" s="55">
        <v>110137</v>
      </c>
      <c r="D81" s="209" t="s">
        <v>517</v>
      </c>
      <c r="E81" s="84"/>
      <c r="F81" s="84"/>
      <c r="G81" s="85"/>
      <c r="H81" s="72"/>
    </row>
    <row r="82" spans="1:8" ht="25.5">
      <c r="A82" s="109" t="s">
        <v>192</v>
      </c>
      <c r="B82" s="113" t="s">
        <v>207</v>
      </c>
      <c r="C82" s="55">
        <f>(36323*0.95)+90.89+520.66+943.52</f>
        <v>36061.919999999998</v>
      </c>
      <c r="D82" s="209" t="s">
        <v>518</v>
      </c>
      <c r="E82" s="84"/>
      <c r="F82" s="84"/>
      <c r="G82" s="113"/>
      <c r="H82" s="72"/>
    </row>
    <row r="83" spans="1:8">
      <c r="A83" s="109" t="s">
        <v>193</v>
      </c>
      <c r="B83" s="85" t="s">
        <v>158</v>
      </c>
      <c r="C83" s="55">
        <v>30886</v>
      </c>
      <c r="D83" s="209" t="s">
        <v>519</v>
      </c>
      <c r="E83" s="84"/>
      <c r="F83" s="84"/>
      <c r="G83" s="85"/>
      <c r="H83" s="72"/>
    </row>
    <row r="84" spans="1:8">
      <c r="A84" s="109" t="s">
        <v>265</v>
      </c>
      <c r="B84" s="85" t="s">
        <v>159</v>
      </c>
      <c r="C84" s="55">
        <v>231</v>
      </c>
      <c r="D84" s="84"/>
      <c r="E84" s="84"/>
      <c r="F84" s="84"/>
      <c r="G84" s="85"/>
      <c r="H84" s="72"/>
    </row>
    <row r="85" spans="1:8">
      <c r="A85" s="109" t="s">
        <v>266</v>
      </c>
      <c r="B85" s="85" t="s">
        <v>160</v>
      </c>
      <c r="C85" s="55">
        <v>4842</v>
      </c>
      <c r="D85" s="84"/>
      <c r="E85" s="84"/>
      <c r="F85" s="84"/>
      <c r="G85" s="85"/>
      <c r="H85" s="72"/>
    </row>
    <row r="86" spans="1:8">
      <c r="A86" s="110">
        <v>17</v>
      </c>
      <c r="B86" s="111" t="s">
        <v>191</v>
      </c>
      <c r="C86" s="59">
        <v>14872</v>
      </c>
      <c r="D86" s="1220" t="s">
        <v>520</v>
      </c>
      <c r="E86" s="1224"/>
      <c r="F86" s="1224"/>
      <c r="G86" s="1221"/>
      <c r="H86" s="83"/>
    </row>
    <row r="87" spans="1:8">
      <c r="A87" s="110">
        <v>18</v>
      </c>
      <c r="B87" s="82" t="s">
        <v>267</v>
      </c>
      <c r="C87" s="57">
        <f>SUM(C88:C90)</f>
        <v>132.52000000000001</v>
      </c>
      <c r="D87" s="1218"/>
      <c r="E87" s="1218"/>
      <c r="F87" s="84"/>
      <c r="G87" s="85"/>
      <c r="H87" s="72"/>
    </row>
    <row r="88" spans="1:8">
      <c r="A88" s="105" t="s">
        <v>268</v>
      </c>
      <c r="B88" s="114" t="s">
        <v>47</v>
      </c>
      <c r="C88" s="55">
        <v>0</v>
      </c>
      <c r="D88" s="210" t="s">
        <v>521</v>
      </c>
      <c r="E88" s="211"/>
      <c r="F88" s="84"/>
      <c r="G88" s="85"/>
      <c r="H88" s="72"/>
    </row>
    <row r="89" spans="1:8">
      <c r="A89" s="105" t="s">
        <v>269</v>
      </c>
      <c r="B89" s="114" t="s">
        <v>48</v>
      </c>
      <c r="C89" s="55">
        <v>132.52000000000001</v>
      </c>
      <c r="D89" s="210" t="s">
        <v>522</v>
      </c>
      <c r="E89" s="211"/>
      <c r="F89" s="84"/>
      <c r="G89" s="113"/>
      <c r="H89" s="72"/>
    </row>
    <row r="90" spans="1:8">
      <c r="A90" s="105" t="s">
        <v>270</v>
      </c>
      <c r="B90" s="114" t="s">
        <v>105</v>
      </c>
      <c r="C90" s="96">
        <v>0</v>
      </c>
      <c r="D90" s="1218"/>
      <c r="E90" s="1218"/>
      <c r="F90" s="84"/>
      <c r="G90" s="209"/>
      <c r="H90" s="72"/>
    </row>
    <row r="91" spans="1:8">
      <c r="A91" s="110">
        <v>19</v>
      </c>
      <c r="B91" s="85" t="s">
        <v>205</v>
      </c>
      <c r="C91" s="96">
        <v>5222</v>
      </c>
      <c r="D91" s="1218"/>
      <c r="E91" s="1218"/>
      <c r="F91" s="84"/>
      <c r="G91" s="85"/>
      <c r="H91" s="72"/>
    </row>
    <row r="92" spans="1:8" ht="38.25">
      <c r="A92" s="110">
        <v>20</v>
      </c>
      <c r="B92" s="113" t="s">
        <v>106</v>
      </c>
      <c r="C92" s="96">
        <f>8600+112332+7170+1885+1437+5602</f>
        <v>137026</v>
      </c>
      <c r="D92" s="1321" t="s">
        <v>523</v>
      </c>
      <c r="E92" s="1322"/>
      <c r="F92" s="84"/>
      <c r="G92" s="85"/>
      <c r="H92" s="72"/>
    </row>
    <row r="93" spans="1:8">
      <c r="A93" s="110">
        <v>21</v>
      </c>
      <c r="B93" s="85" t="s">
        <v>103</v>
      </c>
      <c r="C93" s="96">
        <v>60974</v>
      </c>
      <c r="D93" s="1321" t="s">
        <v>517</v>
      </c>
      <c r="E93" s="1322"/>
      <c r="F93" s="84"/>
      <c r="G93" s="85"/>
      <c r="H93" s="72"/>
    </row>
    <row r="94" spans="1:8" ht="25.5">
      <c r="A94" s="110">
        <v>22</v>
      </c>
      <c r="B94" s="113" t="s">
        <v>107</v>
      </c>
      <c r="C94" s="115">
        <v>131775</v>
      </c>
      <c r="D94" s="1321" t="s">
        <v>524</v>
      </c>
      <c r="E94" s="1328"/>
      <c r="F94" s="1328"/>
      <c r="G94" s="1322"/>
      <c r="H94" s="80"/>
    </row>
    <row r="95" spans="1:8" ht="25.5">
      <c r="A95" s="110">
        <v>23</v>
      </c>
      <c r="B95" s="113" t="s">
        <v>271</v>
      </c>
      <c r="C95" s="118">
        <f>SUM(C53,C76,C80,C86,C87,C91,C92,C93,C94)</f>
        <v>5764707.4399999995</v>
      </c>
      <c r="D95" s="1218"/>
      <c r="E95" s="1218"/>
      <c r="F95" s="84"/>
      <c r="G95" s="85"/>
      <c r="H95" s="72"/>
    </row>
    <row r="96" spans="1:8">
      <c r="A96" s="109" t="s">
        <v>108</v>
      </c>
      <c r="B96" s="114" t="s">
        <v>49</v>
      </c>
      <c r="C96" s="96">
        <v>0</v>
      </c>
      <c r="D96" s="1218"/>
      <c r="E96" s="1218"/>
      <c r="F96" s="84"/>
      <c r="G96" s="85"/>
      <c r="H96" s="72"/>
    </row>
    <row r="97" spans="1:8" ht="15">
      <c r="A97" s="110">
        <v>24</v>
      </c>
      <c r="B97" s="85" t="s">
        <v>272</v>
      </c>
      <c r="C97" s="212">
        <f>SUM(C95,C96)</f>
        <v>5764707.4399999995</v>
      </c>
      <c r="D97" s="1218"/>
      <c r="E97" s="1218"/>
      <c r="F97" s="84"/>
      <c r="G97" s="85"/>
      <c r="H97" s="72"/>
    </row>
    <row r="99" spans="1:8" ht="15.75">
      <c r="A99" s="1199" t="s">
        <v>362</v>
      </c>
      <c r="B99" s="1204"/>
      <c r="C99" s="1204"/>
      <c r="D99" s="1204"/>
      <c r="E99" s="1204"/>
      <c r="F99" s="1204"/>
      <c r="G99" s="1205"/>
      <c r="H99" s="120"/>
    </row>
    <row r="100" spans="1:8">
      <c r="A100" s="30" t="s">
        <v>86</v>
      </c>
      <c r="B100" s="30" t="s">
        <v>8</v>
      </c>
      <c r="C100" s="32" t="s">
        <v>50</v>
      </c>
      <c r="D100" s="32" t="s">
        <v>51</v>
      </c>
      <c r="E100" s="32" t="s">
        <v>52</v>
      </c>
      <c r="F100" s="32"/>
      <c r="G100" s="121" t="s">
        <v>149</v>
      </c>
      <c r="H100" s="122"/>
    </row>
    <row r="101" spans="1:8">
      <c r="A101" s="1206"/>
      <c r="B101" s="1208" t="s">
        <v>273</v>
      </c>
      <c r="C101" s="1210"/>
      <c r="D101" s="1203"/>
      <c r="E101" s="1203"/>
      <c r="F101" s="123"/>
      <c r="G101" s="1211"/>
      <c r="H101" s="124"/>
    </row>
    <row r="102" spans="1:8" ht="23.25" customHeight="1">
      <c r="A102" s="1207"/>
      <c r="B102" s="1209"/>
      <c r="C102" s="1203"/>
      <c r="D102" s="1203"/>
      <c r="E102" s="1203"/>
      <c r="F102" s="125"/>
      <c r="G102" s="1212"/>
      <c r="H102" s="124"/>
    </row>
    <row r="103" spans="1:8">
      <c r="A103" s="30">
        <v>25</v>
      </c>
      <c r="B103" s="6" t="s">
        <v>274</v>
      </c>
      <c r="C103" s="51">
        <f>SUM(C104,C107:C110)</f>
        <v>13669</v>
      </c>
      <c r="D103" s="51">
        <f>SUM(D104,D107:D110)</f>
        <v>2738</v>
      </c>
      <c r="E103" s="34">
        <v>1290103</v>
      </c>
      <c r="F103" s="34"/>
      <c r="G103" s="10"/>
      <c r="H103" s="3"/>
    </row>
    <row r="104" spans="1:8">
      <c r="A104" s="25" t="s">
        <v>91</v>
      </c>
      <c r="B104" s="13" t="s">
        <v>53</v>
      </c>
      <c r="C104" s="51">
        <v>9740</v>
      </c>
      <c r="D104" s="51">
        <v>1593</v>
      </c>
      <c r="E104" s="34">
        <v>1172106</v>
      </c>
      <c r="F104" s="34"/>
      <c r="G104" s="10"/>
      <c r="H104" s="3"/>
    </row>
    <row r="105" spans="1:8">
      <c r="A105" s="25" t="s">
        <v>194</v>
      </c>
      <c r="B105" s="35" t="s">
        <v>54</v>
      </c>
      <c r="C105" s="34">
        <v>4917</v>
      </c>
      <c r="D105" s="25" t="s">
        <v>400</v>
      </c>
      <c r="E105" s="34" t="s">
        <v>400</v>
      </c>
      <c r="F105" s="34"/>
      <c r="G105" s="10"/>
      <c r="H105" s="3"/>
    </row>
    <row r="106" spans="1:8">
      <c r="A106" s="25" t="s">
        <v>195</v>
      </c>
      <c r="B106" s="35" t="s">
        <v>55</v>
      </c>
      <c r="C106" s="34">
        <v>4823</v>
      </c>
      <c r="D106" s="25" t="s">
        <v>400</v>
      </c>
      <c r="E106" s="34" t="s">
        <v>400</v>
      </c>
      <c r="F106" s="34"/>
      <c r="G106" s="10"/>
      <c r="H106" s="3"/>
    </row>
    <row r="107" spans="1:8">
      <c r="A107" s="25" t="s">
        <v>93</v>
      </c>
      <c r="B107" s="13" t="s">
        <v>56</v>
      </c>
      <c r="C107" s="34">
        <v>0</v>
      </c>
      <c r="D107" s="34">
        <v>0</v>
      </c>
      <c r="E107" s="34">
        <v>76181</v>
      </c>
      <c r="F107" s="34"/>
      <c r="G107" s="10" t="s">
        <v>525</v>
      </c>
      <c r="H107" s="3"/>
    </row>
    <row r="108" spans="1:8">
      <c r="A108" s="25" t="s">
        <v>275</v>
      </c>
      <c r="B108" s="13" t="s">
        <v>57</v>
      </c>
      <c r="C108" s="34">
        <v>240</v>
      </c>
      <c r="D108" s="34">
        <v>816</v>
      </c>
      <c r="E108" s="34">
        <v>19683</v>
      </c>
      <c r="F108" s="34"/>
      <c r="G108" s="10"/>
      <c r="H108" s="3"/>
    </row>
    <row r="109" spans="1:8">
      <c r="A109" s="25" t="s">
        <v>276</v>
      </c>
      <c r="B109" s="13" t="s">
        <v>58</v>
      </c>
      <c r="C109" s="34">
        <v>504</v>
      </c>
      <c r="D109" s="34">
        <v>206</v>
      </c>
      <c r="E109" s="34">
        <v>15744</v>
      </c>
      <c r="F109" s="34"/>
      <c r="G109" s="10"/>
      <c r="H109" s="3"/>
    </row>
    <row r="110" spans="1:8">
      <c r="A110" s="27" t="s">
        <v>277</v>
      </c>
      <c r="B110" s="13" t="s">
        <v>139</v>
      </c>
      <c r="C110" s="52">
        <v>3185</v>
      </c>
      <c r="D110" s="51">
        <v>123</v>
      </c>
      <c r="E110" s="34" t="s">
        <v>400</v>
      </c>
      <c r="F110" s="34"/>
      <c r="G110" s="10" t="s">
        <v>526</v>
      </c>
      <c r="H110" s="3"/>
    </row>
    <row r="111" spans="1:8">
      <c r="A111" s="30">
        <v>26</v>
      </c>
      <c r="B111" s="18" t="s">
        <v>278</v>
      </c>
      <c r="C111" s="213">
        <v>33561</v>
      </c>
      <c r="D111" s="213">
        <v>39610</v>
      </c>
      <c r="E111" s="34">
        <v>895749</v>
      </c>
      <c r="F111" s="34"/>
      <c r="G111" s="191" t="s">
        <v>527</v>
      </c>
      <c r="H111" s="3"/>
    </row>
    <row r="112" spans="1:8">
      <c r="A112" s="25" t="s">
        <v>92</v>
      </c>
      <c r="B112" s="13" t="s">
        <v>59</v>
      </c>
      <c r="C112" s="34" t="s">
        <v>400</v>
      </c>
      <c r="D112" s="34" t="s">
        <v>400</v>
      </c>
      <c r="E112" s="34">
        <v>13609</v>
      </c>
      <c r="F112" s="34"/>
      <c r="G112" s="214" t="s">
        <v>528</v>
      </c>
      <c r="H112" s="3"/>
    </row>
    <row r="113" spans="1:8">
      <c r="A113" s="27" t="s">
        <v>94</v>
      </c>
      <c r="B113" s="13" t="s">
        <v>164</v>
      </c>
      <c r="C113" s="34" t="s">
        <v>400</v>
      </c>
      <c r="D113" s="34" t="s">
        <v>400</v>
      </c>
      <c r="E113" s="34">
        <v>32775</v>
      </c>
      <c r="F113" s="34"/>
      <c r="G113" s="214" t="s">
        <v>528</v>
      </c>
      <c r="H113" s="3"/>
    </row>
    <row r="114" spans="1:8">
      <c r="A114" s="25"/>
      <c r="B114" s="13"/>
      <c r="C114" s="34"/>
      <c r="D114" s="34"/>
      <c r="E114" s="34"/>
      <c r="F114" s="34"/>
      <c r="G114" s="10" t="s">
        <v>529</v>
      </c>
      <c r="H114" s="3"/>
    </row>
    <row r="115" spans="1:8" ht="38.25">
      <c r="A115" s="36">
        <v>27</v>
      </c>
      <c r="B115" s="33" t="s">
        <v>279</v>
      </c>
      <c r="C115" s="51">
        <f>SUM(C116+C119)</f>
        <v>38</v>
      </c>
      <c r="D115" s="51">
        <f>SUM(D116+D119)</f>
        <v>0</v>
      </c>
      <c r="E115" s="34">
        <v>67927</v>
      </c>
      <c r="F115" s="34"/>
      <c r="G115" s="10" t="s">
        <v>530</v>
      </c>
      <c r="H115" s="3"/>
    </row>
    <row r="116" spans="1:8" ht="25.5">
      <c r="A116" s="30" t="s">
        <v>196</v>
      </c>
      <c r="B116" s="126" t="s">
        <v>280</v>
      </c>
      <c r="C116" s="52">
        <f>SUM(C117,C118)</f>
        <v>7</v>
      </c>
      <c r="D116" s="52">
        <f>SUM(D117:D118)</f>
        <v>0</v>
      </c>
      <c r="E116" s="215">
        <v>12171</v>
      </c>
      <c r="F116" s="25"/>
      <c r="G116" s="10"/>
      <c r="H116" s="3"/>
    </row>
    <row r="117" spans="1:8">
      <c r="A117" s="25" t="s">
        <v>281</v>
      </c>
      <c r="B117" s="35" t="s">
        <v>124</v>
      </c>
      <c r="C117" s="25">
        <v>7</v>
      </c>
      <c r="D117" s="25">
        <v>0</v>
      </c>
      <c r="E117" s="215">
        <v>844</v>
      </c>
      <c r="F117" s="25"/>
      <c r="G117" s="10"/>
      <c r="H117" s="3"/>
    </row>
    <row r="118" spans="1:8">
      <c r="A118" s="25" t="s">
        <v>282</v>
      </c>
      <c r="B118" s="35" t="s">
        <v>125</v>
      </c>
      <c r="C118" s="25" t="s">
        <v>400</v>
      </c>
      <c r="D118" s="25" t="s">
        <v>400</v>
      </c>
      <c r="E118" s="215">
        <v>11327</v>
      </c>
      <c r="F118" s="25"/>
      <c r="G118" s="10"/>
      <c r="H118" s="3"/>
    </row>
    <row r="119" spans="1:8" ht="25.5">
      <c r="A119" s="30" t="s">
        <v>283</v>
      </c>
      <c r="B119" s="126" t="s">
        <v>284</v>
      </c>
      <c r="C119" s="52">
        <f>SUM(C120:C122)</f>
        <v>31</v>
      </c>
      <c r="D119" s="52">
        <f>SUM(D120:D122)</f>
        <v>0</v>
      </c>
      <c r="E119" s="215">
        <v>55756</v>
      </c>
      <c r="F119" s="25"/>
      <c r="G119" s="10"/>
      <c r="H119" s="3"/>
    </row>
    <row r="120" spans="1:8">
      <c r="A120" s="25" t="s">
        <v>285</v>
      </c>
      <c r="B120" s="35" t="s">
        <v>126</v>
      </c>
      <c r="C120" s="25">
        <v>2</v>
      </c>
      <c r="D120" s="25">
        <v>0</v>
      </c>
      <c r="E120" s="215">
        <v>100</v>
      </c>
      <c r="F120" s="25"/>
      <c r="G120" s="10"/>
      <c r="H120" s="3"/>
    </row>
    <row r="121" spans="1:8">
      <c r="A121" s="27" t="s">
        <v>286</v>
      </c>
      <c r="B121" s="35" t="s">
        <v>287</v>
      </c>
      <c r="C121" s="25" t="s">
        <v>400</v>
      </c>
      <c r="D121" s="25" t="s">
        <v>400</v>
      </c>
      <c r="E121" s="215">
        <v>52818</v>
      </c>
      <c r="F121" s="25"/>
      <c r="G121" s="10"/>
      <c r="H121" s="3"/>
    </row>
    <row r="122" spans="1:8">
      <c r="A122" s="25" t="s">
        <v>288</v>
      </c>
      <c r="B122" s="35" t="s">
        <v>218</v>
      </c>
      <c r="C122" s="25">
        <v>29</v>
      </c>
      <c r="D122" s="25" t="s">
        <v>400</v>
      </c>
      <c r="E122" s="215">
        <v>2838</v>
      </c>
      <c r="F122" s="25"/>
      <c r="G122" s="10"/>
      <c r="H122" s="3"/>
    </row>
    <row r="123" spans="1:8">
      <c r="A123" s="25"/>
      <c r="B123" s="35"/>
      <c r="C123" s="25"/>
      <c r="D123" s="25"/>
      <c r="E123" s="215"/>
      <c r="F123" s="25"/>
      <c r="G123" s="10"/>
      <c r="H123" s="3"/>
    </row>
    <row r="124" spans="1:8">
      <c r="A124" s="25" t="s">
        <v>86</v>
      </c>
      <c r="B124" s="25"/>
      <c r="C124" s="25"/>
      <c r="D124" s="25"/>
      <c r="E124" s="215"/>
      <c r="F124" s="25"/>
      <c r="G124" s="10"/>
      <c r="H124" s="3"/>
    </row>
    <row r="125" spans="1:8">
      <c r="A125" s="30">
        <v>28</v>
      </c>
      <c r="B125" s="6" t="s">
        <v>289</v>
      </c>
      <c r="C125" s="52">
        <f>SUM(C126:C127)</f>
        <v>1964</v>
      </c>
      <c r="D125" s="52">
        <f>SUM(D126:D127)</f>
        <v>43</v>
      </c>
      <c r="E125" s="215">
        <v>31410</v>
      </c>
      <c r="F125" s="25"/>
      <c r="G125" s="10"/>
      <c r="H125" s="3"/>
    </row>
    <row r="126" spans="1:8">
      <c r="A126" s="25" t="s">
        <v>127</v>
      </c>
      <c r="B126" s="24" t="s">
        <v>40</v>
      </c>
      <c r="C126" s="25">
        <v>1742</v>
      </c>
      <c r="D126" s="25">
        <v>10</v>
      </c>
      <c r="E126" s="215">
        <v>23134</v>
      </c>
      <c r="F126" s="25"/>
      <c r="G126" s="10"/>
      <c r="H126" s="3"/>
    </row>
    <row r="127" spans="1:8">
      <c r="A127" s="25" t="s">
        <v>129</v>
      </c>
      <c r="B127" s="24" t="s">
        <v>41</v>
      </c>
      <c r="C127" s="25">
        <v>222</v>
      </c>
      <c r="D127" s="25">
        <v>33</v>
      </c>
      <c r="E127" s="215">
        <v>8276</v>
      </c>
      <c r="F127" s="25"/>
      <c r="G127" s="10"/>
      <c r="H127" s="3"/>
    </row>
    <row r="128" spans="1:8">
      <c r="A128" s="25"/>
      <c r="C128" s="25"/>
      <c r="D128" s="25"/>
      <c r="E128" s="215"/>
      <c r="F128" s="25"/>
      <c r="G128" s="10"/>
      <c r="H128" s="3"/>
    </row>
    <row r="129" spans="1:8">
      <c r="A129" s="30">
        <v>29</v>
      </c>
      <c r="B129" s="6" t="s">
        <v>290</v>
      </c>
      <c r="C129" s="25"/>
      <c r="D129" s="25"/>
      <c r="E129" s="215"/>
      <c r="F129" s="25"/>
      <c r="G129" s="10"/>
      <c r="H129" s="3"/>
    </row>
    <row r="130" spans="1:8">
      <c r="A130" s="30" t="s">
        <v>165</v>
      </c>
      <c r="B130" s="6" t="s">
        <v>37</v>
      </c>
      <c r="C130" s="25">
        <v>64</v>
      </c>
      <c r="D130" s="25">
        <v>24</v>
      </c>
      <c r="E130" s="215">
        <v>10089</v>
      </c>
      <c r="F130" s="25"/>
      <c r="G130" s="10" t="s">
        <v>531</v>
      </c>
      <c r="H130" s="3"/>
    </row>
    <row r="131" spans="1:8">
      <c r="A131" s="30" t="s">
        <v>166</v>
      </c>
      <c r="B131" s="6" t="s">
        <v>79</v>
      </c>
      <c r="C131" s="25">
        <v>13</v>
      </c>
      <c r="D131" s="25">
        <v>185</v>
      </c>
      <c r="E131" s="215">
        <v>15522</v>
      </c>
      <c r="F131" s="25"/>
      <c r="G131" s="10"/>
      <c r="H131" s="3"/>
    </row>
    <row r="132" spans="1:8">
      <c r="A132" s="30" t="s">
        <v>291</v>
      </c>
      <c r="B132" s="29" t="s">
        <v>222</v>
      </c>
      <c r="C132" s="25">
        <v>2</v>
      </c>
      <c r="D132" s="25">
        <v>0</v>
      </c>
      <c r="E132" s="215">
        <v>984</v>
      </c>
      <c r="F132" s="30"/>
      <c r="G132" s="6"/>
      <c r="H132" s="122"/>
    </row>
    <row r="133" spans="1:8">
      <c r="A133" s="30" t="s">
        <v>292</v>
      </c>
      <c r="B133" s="29" t="s">
        <v>293</v>
      </c>
      <c r="C133" s="25">
        <v>792</v>
      </c>
      <c r="D133" s="25">
        <v>24</v>
      </c>
      <c r="E133" s="215">
        <v>1150116</v>
      </c>
      <c r="F133" s="30"/>
      <c r="G133" s="6"/>
      <c r="H133" s="122"/>
    </row>
    <row r="134" spans="1:8">
      <c r="A134" s="30" t="s">
        <v>294</v>
      </c>
      <c r="B134" s="29" t="s">
        <v>223</v>
      </c>
      <c r="C134" s="25">
        <v>723</v>
      </c>
      <c r="D134" s="25">
        <v>24</v>
      </c>
      <c r="E134" s="215" t="s">
        <v>400</v>
      </c>
      <c r="F134" s="30"/>
      <c r="G134" s="10" t="s">
        <v>532</v>
      </c>
      <c r="H134" s="122"/>
    </row>
    <row r="135" spans="1:8">
      <c r="A135" s="30" t="s">
        <v>295</v>
      </c>
      <c r="B135" s="37" t="s">
        <v>224</v>
      </c>
      <c r="C135" s="25">
        <v>69</v>
      </c>
      <c r="D135" s="25">
        <v>0</v>
      </c>
      <c r="E135" s="215" t="s">
        <v>400</v>
      </c>
      <c r="F135" s="30"/>
      <c r="G135" s="10" t="s">
        <v>532</v>
      </c>
      <c r="H135" s="122"/>
    </row>
    <row r="136" spans="1:8">
      <c r="A136" s="30" t="s">
        <v>296</v>
      </c>
      <c r="B136" s="37" t="s">
        <v>225</v>
      </c>
      <c r="C136" s="25">
        <v>0</v>
      </c>
      <c r="D136" s="25">
        <v>0</v>
      </c>
      <c r="E136" s="215">
        <v>0</v>
      </c>
      <c r="F136" s="30"/>
      <c r="G136" s="6"/>
      <c r="H136" s="122"/>
    </row>
    <row r="137" spans="1:8">
      <c r="A137" s="25"/>
      <c r="B137" s="6" t="s">
        <v>297</v>
      </c>
      <c r="C137" s="25"/>
      <c r="D137" s="25"/>
      <c r="E137" s="215"/>
      <c r="F137" s="25"/>
      <c r="G137" s="10"/>
      <c r="H137" s="3"/>
    </row>
    <row r="138" spans="1:8">
      <c r="A138" s="38" t="s">
        <v>298</v>
      </c>
      <c r="B138" s="37" t="s">
        <v>197</v>
      </c>
      <c r="C138" s="25">
        <v>0</v>
      </c>
      <c r="D138" s="25">
        <v>0</v>
      </c>
      <c r="E138" s="215">
        <v>1</v>
      </c>
      <c r="F138" s="30"/>
      <c r="G138" s="6"/>
      <c r="H138" s="122"/>
    </row>
    <row r="139" spans="1:8">
      <c r="A139" s="38" t="s">
        <v>299</v>
      </c>
      <c r="B139" s="37" t="s">
        <v>198</v>
      </c>
      <c r="C139" s="25">
        <v>539</v>
      </c>
      <c r="D139" s="25">
        <v>0</v>
      </c>
      <c r="E139" s="215">
        <v>1737</v>
      </c>
      <c r="F139" s="30"/>
      <c r="G139" s="216" t="s">
        <v>533</v>
      </c>
      <c r="H139" s="122"/>
    </row>
    <row r="140" spans="1:8">
      <c r="A140" s="38" t="s">
        <v>300</v>
      </c>
      <c r="B140" s="37" t="s">
        <v>199</v>
      </c>
      <c r="C140" s="25">
        <v>0.56000000000000005</v>
      </c>
      <c r="D140" s="25">
        <v>0</v>
      </c>
      <c r="E140" s="215">
        <v>3.6</v>
      </c>
      <c r="F140" s="30"/>
      <c r="G140" s="6"/>
      <c r="H140" s="122"/>
    </row>
    <row r="141" spans="1:8">
      <c r="A141" s="38" t="s">
        <v>301</v>
      </c>
      <c r="B141" s="37" t="s">
        <v>200</v>
      </c>
      <c r="C141" s="25" t="s">
        <v>400</v>
      </c>
      <c r="D141" s="25" t="s">
        <v>400</v>
      </c>
      <c r="E141" s="215" t="s">
        <v>400</v>
      </c>
      <c r="F141" s="30"/>
      <c r="G141" s="6"/>
      <c r="H141" s="122"/>
    </row>
    <row r="142" spans="1:8">
      <c r="A142" s="30" t="s">
        <v>302</v>
      </c>
      <c r="B142" s="37" t="s">
        <v>220</v>
      </c>
      <c r="C142" s="25">
        <v>18</v>
      </c>
      <c r="D142" s="25">
        <v>17</v>
      </c>
      <c r="E142" s="215">
        <v>3318</v>
      </c>
      <c r="F142" s="30"/>
      <c r="G142" s="6"/>
      <c r="H142" s="122"/>
    </row>
    <row r="143" spans="1:8">
      <c r="A143" s="30" t="s">
        <v>303</v>
      </c>
      <c r="B143" s="37" t="s">
        <v>221</v>
      </c>
      <c r="C143" s="25" t="s">
        <v>400</v>
      </c>
      <c r="D143" s="25" t="s">
        <v>400</v>
      </c>
      <c r="E143" s="215">
        <v>6000</v>
      </c>
      <c r="F143" s="30"/>
      <c r="G143" s="10" t="s">
        <v>534</v>
      </c>
      <c r="H143" s="122"/>
    </row>
    <row r="144" spans="1:8">
      <c r="A144" s="1213"/>
      <c r="B144" s="1214"/>
      <c r="C144" s="1215"/>
      <c r="D144" s="1215"/>
      <c r="E144" s="1215"/>
      <c r="F144" s="1215"/>
      <c r="G144" s="1216"/>
      <c r="H144" s="124"/>
    </row>
    <row r="145" spans="1:9" ht="15.75">
      <c r="A145" s="1199" t="s">
        <v>99</v>
      </c>
      <c r="B145" s="1200"/>
      <c r="C145" s="1200"/>
      <c r="D145" s="1200"/>
      <c r="E145" s="1200"/>
      <c r="F145" s="1200"/>
      <c r="G145" s="1200"/>
      <c r="H145" s="128"/>
      <c r="I145" s="120"/>
    </row>
    <row r="147" spans="1:9" ht="15">
      <c r="A147" s="38">
        <v>30</v>
      </c>
      <c r="B147" s="6" t="s">
        <v>304</v>
      </c>
      <c r="C147" s="217">
        <f>SUM(C148:C149)</f>
        <v>496126</v>
      </c>
      <c r="G147" t="s">
        <v>535</v>
      </c>
    </row>
    <row r="148" spans="1:9" ht="15">
      <c r="A148" s="27" t="s">
        <v>169</v>
      </c>
      <c r="B148" s="10" t="s">
        <v>167</v>
      </c>
      <c r="C148" s="218">
        <v>302508</v>
      </c>
    </row>
    <row r="149" spans="1:9" ht="15">
      <c r="A149" s="27" t="s">
        <v>171</v>
      </c>
      <c r="B149" s="10" t="s">
        <v>168</v>
      </c>
      <c r="C149" s="219">
        <v>193618</v>
      </c>
    </row>
    <row r="150" spans="1:9" ht="25.5">
      <c r="A150" s="38">
        <v>31</v>
      </c>
      <c r="B150" s="33" t="s">
        <v>305</v>
      </c>
      <c r="C150" s="218">
        <f>141752*4</f>
        <v>567008</v>
      </c>
      <c r="G150" s="60" t="s">
        <v>536</v>
      </c>
    </row>
    <row r="151" spans="1:9" ht="15">
      <c r="A151" s="27" t="s">
        <v>137</v>
      </c>
      <c r="B151" s="10" t="s">
        <v>170</v>
      </c>
      <c r="C151" s="218">
        <f>26873*4</f>
        <v>107492</v>
      </c>
      <c r="G151" s="60" t="s">
        <v>536</v>
      </c>
    </row>
    <row r="152" spans="1:9" ht="15">
      <c r="A152" s="27" t="s">
        <v>138</v>
      </c>
      <c r="B152" s="10" t="s">
        <v>172</v>
      </c>
      <c r="C152" s="218">
        <f>25799*4</f>
        <v>103196</v>
      </c>
      <c r="G152" s="60" t="s">
        <v>536</v>
      </c>
    </row>
    <row r="153" spans="1:9">
      <c r="A153" s="27"/>
      <c r="B153" s="10"/>
      <c r="C153" s="9"/>
    </row>
    <row r="154" spans="1:9">
      <c r="A154" s="30"/>
      <c r="B154" s="1201" t="s">
        <v>306</v>
      </c>
      <c r="C154" s="1202"/>
    </row>
    <row r="155" spans="1:9">
      <c r="A155" s="30">
        <v>32</v>
      </c>
      <c r="B155" s="26" t="s">
        <v>307</v>
      </c>
      <c r="C155" s="52">
        <f>SUM(C156,C157,C163)</f>
        <v>171597</v>
      </c>
    </row>
    <row r="156" spans="1:9">
      <c r="A156" s="25" t="s">
        <v>308</v>
      </c>
      <c r="B156" s="28" t="s">
        <v>69</v>
      </c>
      <c r="C156" s="25">
        <v>119072</v>
      </c>
    </row>
    <row r="157" spans="1:9">
      <c r="A157" s="27" t="s">
        <v>309</v>
      </c>
      <c r="B157" s="28" t="s">
        <v>70</v>
      </c>
      <c r="C157" s="25">
        <v>16552</v>
      </c>
    </row>
    <row r="158" spans="1:9">
      <c r="A158" s="30">
        <v>33</v>
      </c>
      <c r="B158" s="41" t="s">
        <v>71</v>
      </c>
      <c r="C158" s="25">
        <f>35238+4627</f>
        <v>39865</v>
      </c>
      <c r="D158" s="220"/>
      <c r="E158" s="221"/>
      <c r="F158" s="221"/>
      <c r="G158" t="s">
        <v>537</v>
      </c>
    </row>
    <row r="159" spans="1:9">
      <c r="A159" s="30">
        <v>34</v>
      </c>
      <c r="B159" s="26" t="s">
        <v>310</v>
      </c>
      <c r="C159" s="52">
        <f>SUM(C160:C162)</f>
        <v>4826</v>
      </c>
    </row>
    <row r="160" spans="1:9">
      <c r="A160" s="25" t="s">
        <v>173</v>
      </c>
      <c r="B160" s="28" t="s">
        <v>72</v>
      </c>
      <c r="C160" s="25">
        <v>1215</v>
      </c>
    </row>
    <row r="161" spans="1:7">
      <c r="A161" s="27" t="s">
        <v>175</v>
      </c>
      <c r="B161" s="28" t="s">
        <v>73</v>
      </c>
      <c r="C161" s="25">
        <v>1583</v>
      </c>
    </row>
    <row r="162" spans="1:7">
      <c r="A162" s="27" t="s">
        <v>177</v>
      </c>
      <c r="B162" s="28" t="s">
        <v>214</v>
      </c>
      <c r="C162" s="25">
        <v>2028</v>
      </c>
    </row>
    <row r="163" spans="1:7">
      <c r="A163" s="23">
        <v>35</v>
      </c>
      <c r="B163" s="26" t="s">
        <v>311</v>
      </c>
      <c r="C163" s="52">
        <f>SUM(C164:C166)</f>
        <v>35973</v>
      </c>
    </row>
    <row r="164" spans="1:7">
      <c r="A164" s="39" t="s">
        <v>312</v>
      </c>
      <c r="B164" s="41" t="s">
        <v>174</v>
      </c>
      <c r="C164" s="25">
        <v>8051</v>
      </c>
    </row>
    <row r="165" spans="1:7">
      <c r="A165" s="27" t="s">
        <v>313</v>
      </c>
      <c r="B165" s="41" t="s">
        <v>176</v>
      </c>
      <c r="C165" s="25">
        <v>27922</v>
      </c>
    </row>
    <row r="166" spans="1:7">
      <c r="A166" s="27" t="s">
        <v>314</v>
      </c>
      <c r="B166" s="41" t="s">
        <v>178</v>
      </c>
      <c r="C166" s="25">
        <v>0</v>
      </c>
    </row>
    <row r="168" spans="1:7">
      <c r="A168" s="23"/>
      <c r="B168" s="129" t="s">
        <v>87</v>
      </c>
      <c r="C168" s="127"/>
      <c r="D168" s="127"/>
      <c r="E168" s="130"/>
      <c r="F168" s="131"/>
    </row>
    <row r="169" spans="1:7">
      <c r="A169" s="23">
        <v>36</v>
      </c>
      <c r="B169" s="132" t="s">
        <v>74</v>
      </c>
      <c r="C169" s="133">
        <v>7274</v>
      </c>
      <c r="D169" s="134"/>
      <c r="E169" s="46"/>
      <c r="F169" s="46"/>
      <c r="G169" s="135"/>
    </row>
    <row r="170" spans="1:7">
      <c r="A170" s="23">
        <v>37</v>
      </c>
      <c r="B170" s="41" t="s">
        <v>75</v>
      </c>
      <c r="C170" s="136">
        <v>8205</v>
      </c>
      <c r="D170" s="134"/>
      <c r="E170" s="46"/>
      <c r="F170" s="46"/>
      <c r="G170" s="135"/>
    </row>
    <row r="171" spans="1:7">
      <c r="A171" s="23">
        <v>38</v>
      </c>
      <c r="B171" s="26" t="s">
        <v>315</v>
      </c>
      <c r="C171" s="54">
        <f>SUM(C172:C174)</f>
        <v>15479</v>
      </c>
      <c r="D171" s="137"/>
      <c r="E171" s="138"/>
      <c r="F171" s="138"/>
      <c r="G171" s="138"/>
    </row>
    <row r="172" spans="1:7">
      <c r="A172" s="39" t="s">
        <v>118</v>
      </c>
      <c r="B172" s="28" t="s">
        <v>208</v>
      </c>
      <c r="C172" s="133">
        <v>5605</v>
      </c>
      <c r="D172" s="134"/>
      <c r="E172" s="46"/>
      <c r="F172" s="46"/>
      <c r="G172" s="135"/>
    </row>
    <row r="173" spans="1:7">
      <c r="A173" s="39" t="s">
        <v>119</v>
      </c>
      <c r="B173" s="28" t="s">
        <v>209</v>
      </c>
      <c r="C173" s="40">
        <v>1128</v>
      </c>
      <c r="D173" s="134"/>
      <c r="E173" s="46"/>
      <c r="F173" s="46"/>
      <c r="G173" s="135"/>
    </row>
    <row r="174" spans="1:7">
      <c r="A174" s="27" t="s">
        <v>120</v>
      </c>
      <c r="B174" s="28" t="s">
        <v>210</v>
      </c>
      <c r="C174" s="40">
        <v>8746</v>
      </c>
      <c r="D174" s="134"/>
      <c r="E174" s="46"/>
      <c r="F174" s="46"/>
      <c r="G174" s="135"/>
    </row>
    <row r="175" spans="1:7">
      <c r="A175" s="23">
        <v>39</v>
      </c>
      <c r="B175" s="26" t="s">
        <v>316</v>
      </c>
      <c r="C175" s="54">
        <f>SUM(C176:C178)</f>
        <v>0</v>
      </c>
      <c r="D175" s="134"/>
      <c r="E175" s="46"/>
      <c r="F175" s="46"/>
      <c r="G175" s="135"/>
    </row>
    <row r="176" spans="1:7">
      <c r="A176" s="39" t="s">
        <v>317</v>
      </c>
      <c r="B176" s="28" t="s">
        <v>76</v>
      </c>
      <c r="C176" s="40">
        <v>0</v>
      </c>
      <c r="D176" s="134"/>
      <c r="E176" s="46"/>
      <c r="F176" s="46"/>
      <c r="G176" s="135"/>
    </row>
    <row r="177" spans="1:7">
      <c r="A177" s="39" t="s">
        <v>318</v>
      </c>
      <c r="B177" s="28" t="s">
        <v>77</v>
      </c>
      <c r="C177" s="40">
        <v>0</v>
      </c>
      <c r="D177" s="134"/>
      <c r="E177" s="46"/>
      <c r="F177" s="46"/>
      <c r="G177" s="135"/>
    </row>
    <row r="178" spans="1:7">
      <c r="A178" s="27" t="s">
        <v>319</v>
      </c>
      <c r="B178" s="28" t="s">
        <v>78</v>
      </c>
      <c r="C178" s="40">
        <v>0</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12893</v>
      </c>
      <c r="D181" s="134"/>
      <c r="E181" s="46"/>
      <c r="F181" s="46"/>
      <c r="G181" s="135"/>
    </row>
    <row r="182" spans="1:7">
      <c r="A182" s="23">
        <v>41</v>
      </c>
      <c r="B182" s="41" t="s">
        <v>75</v>
      </c>
      <c r="C182" s="40">
        <v>15180</v>
      </c>
      <c r="D182" s="134"/>
      <c r="E182" s="46"/>
      <c r="F182" s="46"/>
      <c r="G182" s="135"/>
    </row>
    <row r="183" spans="1:7">
      <c r="A183" s="23">
        <v>42</v>
      </c>
      <c r="B183" s="26" t="s">
        <v>320</v>
      </c>
      <c r="C183" s="54">
        <f>SUM(C184:C186)</f>
        <v>28073</v>
      </c>
      <c r="D183" s="134"/>
      <c r="E183" s="46"/>
      <c r="F183" s="46"/>
      <c r="G183" s="135"/>
    </row>
    <row r="184" spans="1:7">
      <c r="A184" s="39" t="s">
        <v>96</v>
      </c>
      <c r="B184" s="28" t="s">
        <v>211</v>
      </c>
      <c r="C184" s="136">
        <v>10872</v>
      </c>
      <c r="D184" s="134"/>
      <c r="E184" s="46"/>
      <c r="F184" s="46"/>
      <c r="G184" s="135"/>
    </row>
    <row r="185" spans="1:7">
      <c r="A185" s="39" t="s">
        <v>97</v>
      </c>
      <c r="B185" s="28" t="s">
        <v>212</v>
      </c>
      <c r="C185" s="40">
        <v>1278</v>
      </c>
      <c r="D185" s="140"/>
      <c r="E185" s="141"/>
      <c r="F185" s="46"/>
      <c r="G185" s="135"/>
    </row>
    <row r="186" spans="1:7">
      <c r="A186" s="27" t="s">
        <v>98</v>
      </c>
      <c r="B186" s="28" t="s">
        <v>213</v>
      </c>
      <c r="C186" s="25">
        <v>15923</v>
      </c>
      <c r="D186" s="25"/>
      <c r="E186" s="25"/>
      <c r="F186" s="46"/>
    </row>
    <row r="187" spans="1:7">
      <c r="A187" s="23">
        <v>43</v>
      </c>
      <c r="B187" s="26" t="s">
        <v>321</v>
      </c>
      <c r="C187" s="54">
        <f>SUM(C188:C190)</f>
        <v>1800</v>
      </c>
      <c r="D187" s="25"/>
      <c r="E187" s="25"/>
      <c r="F187" s="46"/>
    </row>
    <row r="188" spans="1:7">
      <c r="A188" s="39" t="s">
        <v>100</v>
      </c>
      <c r="B188" s="28" t="s">
        <v>76</v>
      </c>
      <c r="C188" s="40">
        <v>0</v>
      </c>
      <c r="D188" s="25"/>
      <c r="E188" s="25"/>
      <c r="F188" s="46"/>
    </row>
    <row r="189" spans="1:7">
      <c r="A189" s="39" t="s">
        <v>101</v>
      </c>
      <c r="B189" s="28" t="s">
        <v>77</v>
      </c>
      <c r="C189" s="40">
        <v>0</v>
      </c>
      <c r="D189" s="25"/>
      <c r="E189" s="25"/>
      <c r="F189" s="46"/>
    </row>
    <row r="190" spans="1:7">
      <c r="A190" s="25" t="s">
        <v>102</v>
      </c>
      <c r="B190" s="13" t="s">
        <v>78</v>
      </c>
      <c r="C190" s="222">
        <v>1800</v>
      </c>
      <c r="D190" s="25"/>
      <c r="E190" s="25"/>
      <c r="F190" s="46"/>
      <c r="G190" s="223" t="s">
        <v>538</v>
      </c>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f>SUM(C195:C197)</f>
        <v>499</v>
      </c>
      <c r="D194" s="52">
        <f>SUM(D195:D197)</f>
        <v>2</v>
      </c>
      <c r="E194" s="52">
        <f>SUM(E195:E197)</f>
        <v>2</v>
      </c>
      <c r="F194" s="145"/>
    </row>
    <row r="195" spans="1:6">
      <c r="A195" s="25" t="s">
        <v>121</v>
      </c>
      <c r="B195" s="13" t="s">
        <v>181</v>
      </c>
      <c r="C195" s="40">
        <v>485</v>
      </c>
      <c r="D195" s="25">
        <v>2</v>
      </c>
      <c r="E195" s="25">
        <v>2</v>
      </c>
      <c r="F195" s="46"/>
    </row>
    <row r="196" spans="1:6">
      <c r="A196" s="25" t="s">
        <v>122</v>
      </c>
      <c r="B196" s="13" t="s">
        <v>182</v>
      </c>
      <c r="C196" s="40">
        <v>14</v>
      </c>
      <c r="D196" s="25"/>
      <c r="E196" s="25"/>
      <c r="F196" s="46"/>
    </row>
    <row r="197" spans="1:6">
      <c r="A197" s="27" t="s">
        <v>123</v>
      </c>
      <c r="B197" s="13" t="s">
        <v>180</v>
      </c>
      <c r="C197" s="40" t="s">
        <v>380</v>
      </c>
      <c r="D197" s="25"/>
      <c r="E197" s="25"/>
      <c r="F197" s="46"/>
    </row>
    <row r="198" spans="1:6">
      <c r="A198" s="30">
        <v>45</v>
      </c>
      <c r="B198" s="6" t="s">
        <v>324</v>
      </c>
      <c r="C198" s="54">
        <f>SUM(C199:C201)</f>
        <v>14542</v>
      </c>
      <c r="D198" s="52">
        <v>90</v>
      </c>
      <c r="E198" s="52">
        <v>90</v>
      </c>
      <c r="F198" s="145"/>
    </row>
    <row r="199" spans="1:6">
      <c r="A199" s="25" t="s">
        <v>325</v>
      </c>
      <c r="B199" s="13" t="s">
        <v>80</v>
      </c>
      <c r="C199" s="40">
        <v>14192</v>
      </c>
      <c r="D199" s="25"/>
      <c r="E199" s="25"/>
      <c r="F199" s="46"/>
    </row>
    <row r="200" spans="1:6">
      <c r="A200" s="25" t="s">
        <v>326</v>
      </c>
      <c r="B200" s="13" t="s">
        <v>60</v>
      </c>
      <c r="C200" s="40">
        <v>350</v>
      </c>
      <c r="D200" s="25"/>
      <c r="E200" s="25"/>
      <c r="F200" s="46"/>
    </row>
    <row r="201" spans="1:6">
      <c r="A201" s="27" t="s">
        <v>327</v>
      </c>
      <c r="B201" s="13" t="s">
        <v>180</v>
      </c>
      <c r="C201" s="40" t="s">
        <v>380</v>
      </c>
      <c r="D201" s="25"/>
      <c r="E201" s="25"/>
      <c r="F201" s="46"/>
    </row>
    <row r="202" spans="1:6">
      <c r="A202" s="44"/>
      <c r="B202" s="45"/>
      <c r="C202" s="46"/>
      <c r="D202" s="146"/>
      <c r="E202" s="147"/>
      <c r="F202" s="46"/>
    </row>
    <row r="203" spans="1:6">
      <c r="A203" s="30">
        <v>46</v>
      </c>
      <c r="B203" s="10" t="s">
        <v>203</v>
      </c>
      <c r="C203" s="40">
        <v>0</v>
      </c>
      <c r="D203" s="25"/>
      <c r="E203" s="25"/>
      <c r="F203" s="46"/>
    </row>
    <row r="204" spans="1:6">
      <c r="A204" s="30">
        <v>47</v>
      </c>
      <c r="B204" s="49" t="s">
        <v>204</v>
      </c>
      <c r="C204" s="40">
        <v>0</v>
      </c>
      <c r="D204" s="25"/>
      <c r="E204" s="25"/>
      <c r="F204" s="46"/>
    </row>
    <row r="205" spans="1:6">
      <c r="A205" s="30">
        <v>48</v>
      </c>
      <c r="B205" s="10" t="s">
        <v>179</v>
      </c>
      <c r="C205" s="40">
        <v>14</v>
      </c>
      <c r="D205" s="25"/>
      <c r="E205" s="25"/>
      <c r="F205" s="46"/>
    </row>
    <row r="206" spans="1:6">
      <c r="A206" s="30">
        <v>49</v>
      </c>
      <c r="B206" s="10" t="s">
        <v>61</v>
      </c>
      <c r="C206" s="40">
        <v>350</v>
      </c>
      <c r="D206" s="25"/>
      <c r="E206" s="25"/>
      <c r="F206" s="46"/>
    </row>
    <row r="207" spans="1:6">
      <c r="A207" s="148">
        <v>50</v>
      </c>
      <c r="B207" s="48" t="s">
        <v>202</v>
      </c>
      <c r="C207" s="4" t="s">
        <v>380</v>
      </c>
      <c r="D207" s="149"/>
      <c r="E207" s="150"/>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c r="D211" s="52"/>
      <c r="E211" s="9"/>
      <c r="F211" s="10"/>
    </row>
    <row r="212" spans="1:6" s="1" customFormat="1">
      <c r="A212" s="27" t="s">
        <v>329</v>
      </c>
      <c r="B212" s="13" t="s">
        <v>226</v>
      </c>
      <c r="C212" s="9"/>
      <c r="D212" s="9"/>
      <c r="E212" s="9">
        <v>570</v>
      </c>
      <c r="F212" s="10"/>
    </row>
    <row r="213" spans="1:6" s="1" customFormat="1">
      <c r="A213" s="27" t="s">
        <v>330</v>
      </c>
      <c r="B213" s="35" t="s">
        <v>128</v>
      </c>
      <c r="C213" s="9"/>
      <c r="D213" s="9"/>
      <c r="E213" s="9">
        <v>461</v>
      </c>
      <c r="F213" s="10"/>
    </row>
    <row r="214" spans="1:6" s="1" customFormat="1">
      <c r="A214" s="27" t="s">
        <v>331</v>
      </c>
      <c r="B214" s="13" t="s">
        <v>227</v>
      </c>
      <c r="C214" s="9"/>
      <c r="D214" s="9"/>
      <c r="E214" s="9">
        <v>28</v>
      </c>
      <c r="F214" s="10"/>
    </row>
    <row r="215" spans="1:6" s="1" customFormat="1">
      <c r="A215" s="27" t="s">
        <v>332</v>
      </c>
      <c r="B215" s="35" t="s">
        <v>130</v>
      </c>
      <c r="C215" s="9"/>
      <c r="D215" s="9"/>
      <c r="E215" s="9">
        <v>26</v>
      </c>
      <c r="F215" s="10"/>
    </row>
    <row r="216" spans="1:6" s="1" customFormat="1">
      <c r="A216" s="27" t="s">
        <v>333</v>
      </c>
      <c r="B216" s="13" t="s">
        <v>232</v>
      </c>
      <c r="C216" s="9"/>
      <c r="D216" s="9"/>
      <c r="E216" s="9">
        <v>2</v>
      </c>
      <c r="F216" s="10"/>
    </row>
    <row r="217" spans="1:6" s="1" customFormat="1">
      <c r="A217" s="27" t="s">
        <v>334</v>
      </c>
      <c r="B217" s="35" t="s">
        <v>131</v>
      </c>
      <c r="C217" s="9"/>
      <c r="D217" s="9"/>
      <c r="E217" s="9">
        <v>0</v>
      </c>
      <c r="F217" s="10"/>
    </row>
    <row r="218" spans="1:6" s="1" customFormat="1">
      <c r="A218" s="27" t="s">
        <v>335</v>
      </c>
      <c r="B218" s="13" t="s">
        <v>233</v>
      </c>
      <c r="C218" s="9"/>
      <c r="D218" s="9"/>
      <c r="E218" s="9">
        <v>25</v>
      </c>
      <c r="F218" s="10"/>
    </row>
    <row r="219" spans="1:6" s="1" customFormat="1">
      <c r="A219" s="27" t="s">
        <v>336</v>
      </c>
      <c r="B219" s="35" t="s">
        <v>132</v>
      </c>
      <c r="C219" s="9"/>
      <c r="D219" s="9"/>
      <c r="E219" s="9">
        <v>0</v>
      </c>
      <c r="F219" s="10"/>
    </row>
    <row r="220" spans="1:6" s="1" customFormat="1">
      <c r="A220" s="27" t="s">
        <v>337</v>
      </c>
      <c r="B220" s="13" t="s">
        <v>234</v>
      </c>
      <c r="C220" s="9"/>
      <c r="D220" s="9"/>
      <c r="E220" s="9">
        <v>23</v>
      </c>
      <c r="F220" s="10"/>
    </row>
    <row r="221" spans="1:6" s="1" customFormat="1">
      <c r="A221" s="27" t="s">
        <v>338</v>
      </c>
      <c r="B221" s="35" t="s">
        <v>133</v>
      </c>
      <c r="C221" s="9"/>
      <c r="D221" s="9"/>
      <c r="E221" s="9">
        <v>23</v>
      </c>
      <c r="F221" s="10"/>
    </row>
    <row r="222" spans="1:6" s="1" customFormat="1">
      <c r="A222" s="27" t="s">
        <v>339</v>
      </c>
      <c r="B222" s="13" t="s">
        <v>235</v>
      </c>
      <c r="C222" s="9"/>
      <c r="D222" s="9"/>
      <c r="E222" s="9">
        <v>3</v>
      </c>
      <c r="F222" s="10"/>
    </row>
    <row r="223" spans="1:6" s="1" customFormat="1">
      <c r="A223" s="27" t="s">
        <v>340</v>
      </c>
      <c r="B223" s="35" t="s">
        <v>134</v>
      </c>
      <c r="C223" s="9"/>
      <c r="D223" s="9"/>
      <c r="E223" s="9">
        <v>0</v>
      </c>
      <c r="F223" s="10"/>
    </row>
    <row r="224" spans="1:6" s="1" customFormat="1">
      <c r="A224" s="27" t="s">
        <v>341</v>
      </c>
      <c r="B224" s="13" t="s">
        <v>236</v>
      </c>
      <c r="C224" s="9"/>
      <c r="D224" s="9"/>
      <c r="E224" s="9">
        <v>0</v>
      </c>
      <c r="F224" s="10"/>
    </row>
    <row r="225" spans="1:8" s="1" customFormat="1">
      <c r="A225" s="27" t="s">
        <v>342</v>
      </c>
      <c r="B225" s="35" t="s">
        <v>135</v>
      </c>
      <c r="C225" s="9"/>
      <c r="D225" s="9"/>
      <c r="E225" s="9">
        <v>0</v>
      </c>
      <c r="F225" s="10"/>
    </row>
    <row r="226" spans="1:8" s="1" customFormat="1">
      <c r="A226" s="27" t="s">
        <v>343</v>
      </c>
      <c r="B226" s="13" t="s">
        <v>237</v>
      </c>
      <c r="C226" s="9"/>
      <c r="D226" s="9"/>
      <c r="E226" s="9">
        <v>4</v>
      </c>
      <c r="F226" s="10"/>
    </row>
    <row r="227" spans="1:8" s="1" customFormat="1" ht="25.5">
      <c r="A227" s="27" t="s">
        <v>344</v>
      </c>
      <c r="B227" s="152" t="s">
        <v>136</v>
      </c>
      <c r="C227" s="9"/>
      <c r="D227" s="9"/>
      <c r="E227" s="9">
        <v>4</v>
      </c>
      <c r="F227" s="10"/>
    </row>
    <row r="228" spans="1:8">
      <c r="A228" s="47"/>
      <c r="B228" s="151"/>
      <c r="C228" s="47"/>
      <c r="D228" s="47"/>
      <c r="E228" s="47"/>
      <c r="F228" s="47"/>
    </row>
    <row r="229" spans="1:8">
      <c r="A229" s="47"/>
      <c r="B229" s="153" t="s">
        <v>345</v>
      </c>
      <c r="C229" s="35"/>
      <c r="D229" s="154"/>
      <c r="E229" s="154"/>
      <c r="F229" s="154"/>
    </row>
    <row r="230" spans="1:8" ht="25.5">
      <c r="A230" s="27" t="s">
        <v>346</v>
      </c>
      <c r="B230" s="155" t="s">
        <v>238</v>
      </c>
      <c r="C230" s="197">
        <v>13285</v>
      </c>
      <c r="D230" s="47"/>
      <c r="E230" s="47"/>
      <c r="F230" s="4"/>
    </row>
    <row r="231" spans="1:8">
      <c r="A231" s="27" t="s">
        <v>347</v>
      </c>
      <c r="B231" s="152" t="s">
        <v>115</v>
      </c>
      <c r="C231" s="164" t="s">
        <v>475</v>
      </c>
      <c r="D231" s="47"/>
      <c r="E231" s="47"/>
      <c r="F231" s="47"/>
    </row>
    <row r="232" spans="1:8" ht="25.5">
      <c r="A232" s="27" t="s">
        <v>348</v>
      </c>
      <c r="B232" s="155" t="s">
        <v>239</v>
      </c>
      <c r="C232" s="164">
        <v>155</v>
      </c>
      <c r="D232" s="47"/>
      <c r="E232" s="47"/>
      <c r="F232" s="4" t="s">
        <v>539</v>
      </c>
    </row>
    <row r="233" spans="1:8">
      <c r="A233" s="27" t="s">
        <v>349</v>
      </c>
      <c r="B233" s="152" t="s">
        <v>116</v>
      </c>
      <c r="C233" s="164">
        <v>311</v>
      </c>
      <c r="D233" s="47"/>
      <c r="E233" s="47"/>
      <c r="F233" s="4" t="s">
        <v>540</v>
      </c>
    </row>
    <row r="234" spans="1:8" ht="25.5">
      <c r="A234" s="27" t="s">
        <v>350</v>
      </c>
      <c r="B234" s="155" t="s">
        <v>240</v>
      </c>
      <c r="C234" s="164">
        <v>643</v>
      </c>
      <c r="D234" s="47"/>
      <c r="E234" s="47"/>
      <c r="F234" s="47"/>
    </row>
    <row r="235" spans="1:8">
      <c r="A235" s="27" t="s">
        <v>351</v>
      </c>
      <c r="B235" s="152" t="s">
        <v>117</v>
      </c>
      <c r="C235" s="206">
        <v>0</v>
      </c>
      <c r="D235" s="47"/>
      <c r="E235" s="47"/>
      <c r="F235" s="47"/>
    </row>
    <row r="236" spans="1:8">
      <c r="A236" s="158"/>
      <c r="B236" s="159"/>
      <c r="C236" s="47"/>
      <c r="D236" s="47"/>
      <c r="E236" s="47"/>
      <c r="F236" s="47"/>
    </row>
    <row r="237" spans="1:8" ht="15.75">
      <c r="A237" s="1325" t="s">
        <v>89</v>
      </c>
      <c r="B237" s="1326"/>
      <c r="C237" s="1326"/>
      <c r="D237" s="1326"/>
      <c r="E237" s="1326"/>
      <c r="F237" s="1326"/>
      <c r="G237" s="1327"/>
      <c r="H237" s="120"/>
    </row>
    <row r="238" spans="1:8">
      <c r="A238" s="25" t="s">
        <v>86</v>
      </c>
      <c r="B238" s="25" t="s">
        <v>8</v>
      </c>
      <c r="C238" s="25" t="s">
        <v>0</v>
      </c>
      <c r="D238" s="25"/>
      <c r="E238" s="40"/>
      <c r="F238" s="40"/>
      <c r="G238" s="10"/>
      <c r="H238" s="3"/>
    </row>
    <row r="239" spans="1:8">
      <c r="A239" s="30">
        <v>52</v>
      </c>
      <c r="B239" s="10" t="s">
        <v>62</v>
      </c>
      <c r="C239" s="25">
        <v>76</v>
      </c>
      <c r="D239" s="25"/>
      <c r="E239" s="40"/>
      <c r="F239" s="40"/>
      <c r="G239" s="10"/>
      <c r="H239" s="3"/>
    </row>
    <row r="240" spans="1:8">
      <c r="A240" s="30">
        <v>53</v>
      </c>
      <c r="B240" s="10" t="s">
        <v>63</v>
      </c>
      <c r="C240" s="25">
        <v>91048</v>
      </c>
      <c r="D240" s="25"/>
      <c r="E240" s="40"/>
      <c r="F240" s="40"/>
      <c r="G240" s="10"/>
      <c r="H240" s="3"/>
    </row>
    <row r="241" spans="1:10">
      <c r="A241" s="30">
        <v>54</v>
      </c>
      <c r="B241" s="10" t="s">
        <v>215</v>
      </c>
      <c r="C241" s="25">
        <v>112</v>
      </c>
      <c r="D241" s="25"/>
      <c r="E241" s="40"/>
      <c r="F241" s="40"/>
      <c r="G241" s="10"/>
      <c r="H241" s="3"/>
    </row>
    <row r="242" spans="1:10">
      <c r="A242" s="30"/>
      <c r="B242" s="10"/>
      <c r="C242" s="25"/>
      <c r="D242" s="25"/>
      <c r="E242" s="40"/>
      <c r="F242" s="40"/>
      <c r="G242" s="10"/>
      <c r="H242" s="3"/>
    </row>
    <row r="243" spans="1:10">
      <c r="A243" s="30"/>
      <c r="B243" s="10"/>
      <c r="C243" s="25" t="s">
        <v>140</v>
      </c>
      <c r="D243" s="25" t="s">
        <v>141</v>
      </c>
      <c r="E243" s="40" t="s">
        <v>142</v>
      </c>
      <c r="F243" s="25" t="s">
        <v>143</v>
      </c>
      <c r="G243" s="64" t="s">
        <v>352</v>
      </c>
      <c r="H243" s="160"/>
    </row>
    <row r="244" spans="1:10">
      <c r="A244" s="30"/>
      <c r="B244" s="10"/>
      <c r="C244" s="25"/>
      <c r="D244" s="25"/>
      <c r="E244" s="40"/>
      <c r="F244" s="40"/>
      <c r="G244" s="25"/>
      <c r="H244" s="160"/>
    </row>
    <row r="245" spans="1:10">
      <c r="A245" s="30">
        <v>55</v>
      </c>
      <c r="B245" s="6" t="s">
        <v>541</v>
      </c>
      <c r="C245" s="52">
        <v>0</v>
      </c>
      <c r="D245" s="52">
        <f>SUM(D246:D251)</f>
        <v>431</v>
      </c>
      <c r="E245" s="54">
        <f>SUM(E246:E251)</f>
        <v>111</v>
      </c>
      <c r="F245" s="54">
        <f>SUM(F246:F251)</f>
        <v>344</v>
      </c>
      <c r="G245" s="52">
        <f>SUM(C245:F245)</f>
        <v>886</v>
      </c>
      <c r="H245" s="145"/>
    </row>
    <row r="246" spans="1:10">
      <c r="A246" s="25" t="s">
        <v>353</v>
      </c>
      <c r="B246" s="13" t="s">
        <v>64</v>
      </c>
      <c r="C246" s="25">
        <v>305</v>
      </c>
      <c r="D246" s="25">
        <v>388</v>
      </c>
      <c r="E246" s="40">
        <v>76</v>
      </c>
      <c r="F246" s="40">
        <v>47</v>
      </c>
      <c r="G246" s="10">
        <v>816</v>
      </c>
      <c r="H246" s="3"/>
      <c r="J246" s="25"/>
    </row>
    <row r="247" spans="1:10">
      <c r="A247" s="27" t="s">
        <v>354</v>
      </c>
      <c r="B247" s="13" t="s">
        <v>65</v>
      </c>
      <c r="C247" s="25">
        <v>0</v>
      </c>
      <c r="D247" s="25">
        <v>0</v>
      </c>
      <c r="E247" s="40">
        <v>0</v>
      </c>
      <c r="F247" s="40">
        <v>276</v>
      </c>
      <c r="G247" s="10">
        <v>276</v>
      </c>
      <c r="H247" s="3"/>
    </row>
    <row r="248" spans="1:10">
      <c r="A248" s="27" t="s">
        <v>355</v>
      </c>
      <c r="B248" s="13" t="s">
        <v>66</v>
      </c>
      <c r="C248" s="25">
        <v>0</v>
      </c>
      <c r="D248" s="25">
        <v>0</v>
      </c>
      <c r="E248" s="40">
        <v>1</v>
      </c>
      <c r="F248" s="40">
        <v>1</v>
      </c>
      <c r="G248" s="10">
        <v>2</v>
      </c>
      <c r="H248" s="3"/>
    </row>
    <row r="249" spans="1:10">
      <c r="A249" s="27" t="s">
        <v>356</v>
      </c>
      <c r="B249" s="13" t="s">
        <v>67</v>
      </c>
      <c r="C249" s="25">
        <v>9</v>
      </c>
      <c r="D249" s="25">
        <v>6</v>
      </c>
      <c r="E249" s="40">
        <v>2</v>
      </c>
      <c r="F249" s="40">
        <v>0</v>
      </c>
      <c r="G249" s="10">
        <v>17</v>
      </c>
      <c r="H249" s="3"/>
    </row>
    <row r="250" spans="1:10">
      <c r="A250" s="25" t="s">
        <v>357</v>
      </c>
      <c r="B250" s="13" t="s">
        <v>68</v>
      </c>
      <c r="C250" s="25">
        <v>37</v>
      </c>
      <c r="D250" s="25">
        <v>37</v>
      </c>
      <c r="E250" s="40">
        <v>32</v>
      </c>
      <c r="F250" s="40">
        <v>20</v>
      </c>
      <c r="G250" s="10">
        <v>126</v>
      </c>
      <c r="H250" s="3"/>
    </row>
    <row r="251" spans="1:10" ht="24.75">
      <c r="A251" s="27" t="s">
        <v>358</v>
      </c>
      <c r="B251" s="155" t="s">
        <v>183</v>
      </c>
      <c r="C251" s="25" t="s">
        <v>400</v>
      </c>
      <c r="D251" s="25" t="s">
        <v>400</v>
      </c>
      <c r="E251" s="40" t="s">
        <v>400</v>
      </c>
      <c r="F251" s="40" t="s">
        <v>400</v>
      </c>
      <c r="G251" s="10" t="s">
        <v>400</v>
      </c>
      <c r="H251" s="3" t="s">
        <v>542</v>
      </c>
    </row>
    <row r="252" spans="1:10" ht="15">
      <c r="B252" s="161"/>
    </row>
  </sheetData>
  <mergeCells count="81">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49:E49"/>
    <mergeCell ref="D38:E38"/>
    <mergeCell ref="D39:E39"/>
    <mergeCell ref="A40:G40"/>
    <mergeCell ref="A41:G41"/>
    <mergeCell ref="D42:E42"/>
    <mergeCell ref="C43:E43"/>
    <mergeCell ref="D44:E44"/>
    <mergeCell ref="D45:E45"/>
    <mergeCell ref="D46:E46"/>
    <mergeCell ref="D47:E47"/>
    <mergeCell ref="D48:E48"/>
    <mergeCell ref="D62:E62"/>
    <mergeCell ref="D50:E50"/>
    <mergeCell ref="D51:E51"/>
    <mergeCell ref="D52:E52"/>
    <mergeCell ref="D54:E54"/>
    <mergeCell ref="D55:E55"/>
    <mergeCell ref="D56:E56"/>
    <mergeCell ref="D57:E57"/>
    <mergeCell ref="D58:E58"/>
    <mergeCell ref="D59:E59"/>
    <mergeCell ref="D60:E60"/>
    <mergeCell ref="D61:E61"/>
    <mergeCell ref="D75:E75"/>
    <mergeCell ref="D63:E63"/>
    <mergeCell ref="D64:E64"/>
    <mergeCell ref="D65:E65"/>
    <mergeCell ref="D66:E66"/>
    <mergeCell ref="D67:E67"/>
    <mergeCell ref="D68:E68"/>
    <mergeCell ref="D69:E69"/>
    <mergeCell ref="D70:E70"/>
    <mergeCell ref="D71:E71"/>
    <mergeCell ref="D73:E73"/>
    <mergeCell ref="D74:E74"/>
    <mergeCell ref="A99:G99"/>
    <mergeCell ref="D78:E78"/>
    <mergeCell ref="D86:G86"/>
    <mergeCell ref="D87:E87"/>
    <mergeCell ref="D90:E90"/>
    <mergeCell ref="D91:E91"/>
    <mergeCell ref="D92:E92"/>
    <mergeCell ref="D93:E93"/>
    <mergeCell ref="D94:G94"/>
    <mergeCell ref="D95:E95"/>
    <mergeCell ref="D96:E96"/>
    <mergeCell ref="D97:E97"/>
    <mergeCell ref="B154:C154"/>
    <mergeCell ref="D192:E192"/>
    <mergeCell ref="A237:G237"/>
    <mergeCell ref="A101:A102"/>
    <mergeCell ref="B101:B102"/>
    <mergeCell ref="C101:E102"/>
    <mergeCell ref="G101:G102"/>
    <mergeCell ref="A144:G144"/>
    <mergeCell ref="A145:G145"/>
  </mergeCells>
  <hyperlinks>
    <hyperlink ref="B9" r:id="rId1"/>
    <hyperlink ref="G139" r:id="rId2" tooltip="http://boswell.library.fullerton.edu/"/>
  </hyperlinks>
  <pageMargins left="0.7" right="0.7" top="0.75" bottom="0.75" header="0.3" footer="0.3"/>
  <legacyDrawing r:id="rId3"/>
</worksheet>
</file>

<file path=xl/worksheets/sheet9.xml><?xml version="1.0" encoding="utf-8"?>
<worksheet xmlns="http://schemas.openxmlformats.org/spreadsheetml/2006/main" xmlns:r="http://schemas.openxmlformats.org/officeDocument/2006/relationships">
  <dimension ref="A1:L360"/>
  <sheetViews>
    <sheetView topLeftCell="A5" workbookViewId="0">
      <selection activeCell="F19" sqref="F19"/>
    </sheetView>
  </sheetViews>
  <sheetFormatPr defaultRowHeight="12.75"/>
  <cols>
    <col min="1" max="1" width="11.28515625" customWidth="1"/>
    <col min="2" max="2" width="60.28515625" customWidth="1"/>
    <col min="3" max="3" width="11.28515625" customWidth="1"/>
    <col min="4" max="4" width="10.7109375" customWidth="1"/>
    <col min="5" max="5" width="10.140625" customWidth="1"/>
    <col min="6" max="6" width="6.28515625" customWidth="1"/>
    <col min="7" max="7" width="12.140625" customWidth="1"/>
    <col min="8" max="8" width="9.140625" customWidth="1"/>
  </cols>
  <sheetData>
    <row r="1" spans="1:8" ht="18">
      <c r="A1" s="65"/>
      <c r="B1" s="66" t="s">
        <v>241</v>
      </c>
      <c r="C1" s="66"/>
      <c r="D1" s="162" t="s">
        <v>393</v>
      </c>
      <c r="E1" s="67"/>
      <c r="F1" s="67"/>
      <c r="G1" s="66"/>
      <c r="H1" s="172"/>
    </row>
    <row r="2" spans="1:8">
      <c r="A2" s="69"/>
      <c r="B2" s="172"/>
      <c r="C2" s="69"/>
      <c r="D2" s="224" t="s">
        <v>543</v>
      </c>
      <c r="E2" s="69"/>
      <c r="F2" s="69"/>
      <c r="G2" s="172"/>
      <c r="H2" s="172"/>
    </row>
    <row r="3" spans="1:8" ht="15.75">
      <c r="A3" s="70" t="s">
        <v>161</v>
      </c>
      <c r="B3" s="71" t="s">
        <v>544</v>
      </c>
      <c r="C3" s="73" t="s">
        <v>185</v>
      </c>
      <c r="D3" s="72"/>
      <c r="E3" s="72"/>
      <c r="F3" s="172"/>
      <c r="H3" s="172"/>
    </row>
    <row r="4" spans="1:8">
      <c r="A4" s="69"/>
      <c r="B4" s="172"/>
      <c r="C4" s="69"/>
      <c r="D4" s="69"/>
      <c r="E4" s="69"/>
      <c r="F4" s="172"/>
      <c r="H4" s="172"/>
    </row>
    <row r="5" spans="1:8" ht="12.75" customHeight="1">
      <c r="A5" s="1231" t="s">
        <v>189</v>
      </c>
      <c r="B5" s="71" t="s">
        <v>545</v>
      </c>
      <c r="C5" s="74" t="s">
        <v>186</v>
      </c>
      <c r="D5" s="72"/>
      <c r="E5" s="72"/>
      <c r="F5" s="172"/>
      <c r="H5" s="172"/>
    </row>
    <row r="6" spans="1:8" ht="20.25" customHeight="1">
      <c r="A6" s="1231"/>
      <c r="B6" s="72"/>
      <c r="C6" s="75" t="s">
        <v>187</v>
      </c>
      <c r="D6" s="69"/>
      <c r="E6" s="69"/>
      <c r="F6" s="172"/>
      <c r="H6" s="172"/>
    </row>
    <row r="7" spans="1:8" ht="12.75" customHeight="1">
      <c r="A7" s="1231" t="s">
        <v>184</v>
      </c>
      <c r="B7" s="71" t="s">
        <v>546</v>
      </c>
      <c r="C7" s="72"/>
      <c r="D7" s="72"/>
      <c r="E7" s="72"/>
      <c r="F7" s="172"/>
      <c r="H7" s="172"/>
    </row>
    <row r="8" spans="1:8">
      <c r="A8" s="1231"/>
      <c r="B8" s="172"/>
      <c r="C8" s="75" t="s">
        <v>547</v>
      </c>
      <c r="D8" s="69"/>
      <c r="E8" s="69"/>
      <c r="F8" s="172"/>
      <c r="H8" s="172"/>
    </row>
    <row r="9" spans="1:8">
      <c r="A9" s="76" t="s">
        <v>190</v>
      </c>
      <c r="B9" s="173" t="s">
        <v>548</v>
      </c>
      <c r="C9" s="69"/>
      <c r="D9" s="69"/>
      <c r="E9" s="69"/>
      <c r="F9" s="172"/>
      <c r="H9" s="172"/>
    </row>
    <row r="10" spans="1:8">
      <c r="A10" s="67"/>
      <c r="B10" s="172"/>
      <c r="C10" s="75" t="s">
        <v>549</v>
      </c>
      <c r="H10" s="172"/>
    </row>
    <row r="11" spans="1:8">
      <c r="A11" s="79" t="s">
        <v>162</v>
      </c>
      <c r="B11" s="71" t="s">
        <v>550</v>
      </c>
      <c r="H11" s="172"/>
    </row>
    <row r="12" spans="1:8">
      <c r="A12" s="69"/>
      <c r="B12" s="172"/>
      <c r="C12" s="62" t="s">
        <v>551</v>
      </c>
      <c r="D12" s="69"/>
      <c r="E12" s="78"/>
      <c r="F12" s="172"/>
      <c r="H12" s="172"/>
    </row>
    <row r="13" spans="1:8">
      <c r="A13" s="1232" t="s">
        <v>163</v>
      </c>
      <c r="B13" s="71" t="s">
        <v>552</v>
      </c>
      <c r="C13" s="77" t="s">
        <v>242</v>
      </c>
      <c r="D13" s="69"/>
      <c r="E13" s="69"/>
      <c r="F13" s="172"/>
      <c r="H13" s="172"/>
    </row>
    <row r="14" spans="1:8">
      <c r="A14" s="1232"/>
      <c r="B14" s="172"/>
      <c r="C14" s="172"/>
      <c r="D14" s="172"/>
      <c r="E14" s="172"/>
      <c r="F14" s="172"/>
      <c r="G14" s="172"/>
      <c r="H14" s="172"/>
    </row>
    <row r="16" spans="1:8" ht="13.5">
      <c r="A16" s="1226" t="s">
        <v>359</v>
      </c>
      <c r="B16" s="1233"/>
      <c r="C16" s="1224"/>
      <c r="D16" s="1224"/>
      <c r="E16" s="1224"/>
      <c r="F16" s="1224"/>
      <c r="G16" s="1225"/>
      <c r="H16" s="80"/>
    </row>
    <row r="17" spans="1:8">
      <c r="A17" s="5" t="s">
        <v>86</v>
      </c>
      <c r="B17" s="5" t="s">
        <v>8</v>
      </c>
      <c r="C17" s="5" t="s">
        <v>0</v>
      </c>
      <c r="D17" s="1219" t="s">
        <v>149</v>
      </c>
      <c r="E17" s="1219"/>
      <c r="F17" s="81"/>
      <c r="G17" s="82"/>
      <c r="H17" s="83"/>
    </row>
    <row r="18" spans="1:8">
      <c r="A18" s="5">
        <v>1</v>
      </c>
      <c r="B18" s="7" t="s">
        <v>1</v>
      </c>
      <c r="C18" s="8"/>
      <c r="D18" s="1218"/>
      <c r="E18" s="1218"/>
      <c r="F18" s="84"/>
      <c r="G18" s="85"/>
      <c r="H18" s="72"/>
    </row>
    <row r="19" spans="1:8" ht="25.5">
      <c r="A19" s="11" t="s">
        <v>111</v>
      </c>
      <c r="B19" s="86" t="s">
        <v>228</v>
      </c>
      <c r="C19" s="8">
        <v>10</v>
      </c>
      <c r="D19" s="1218" t="s">
        <v>536</v>
      </c>
      <c r="E19" s="1218"/>
      <c r="F19" s="84"/>
      <c r="G19" s="85"/>
    </row>
    <row r="20" spans="1:8" ht="25.5">
      <c r="A20" s="11" t="s">
        <v>112</v>
      </c>
      <c r="B20" s="86" t="s">
        <v>229</v>
      </c>
      <c r="C20" s="8">
        <v>9</v>
      </c>
      <c r="D20" s="1218"/>
      <c r="E20" s="1218"/>
      <c r="F20" s="84"/>
      <c r="G20" s="85"/>
    </row>
    <row r="21" spans="1:8" ht="25.5">
      <c r="A21" s="11" t="s">
        <v>113</v>
      </c>
      <c r="B21" s="87" t="s">
        <v>230</v>
      </c>
      <c r="C21" s="8">
        <v>1</v>
      </c>
      <c r="D21" s="1218"/>
      <c r="E21" s="1218"/>
      <c r="F21" s="84"/>
      <c r="G21" s="85"/>
    </row>
    <row r="22" spans="1:8" ht="25.5">
      <c r="A22" s="11" t="s">
        <v>114</v>
      </c>
      <c r="B22" s="87" t="s">
        <v>231</v>
      </c>
      <c r="C22" s="14">
        <v>4</v>
      </c>
      <c r="D22" s="1218"/>
      <c r="E22" s="1218"/>
      <c r="F22" s="84"/>
      <c r="G22" s="85"/>
    </row>
    <row r="23" spans="1:8">
      <c r="A23" s="1222"/>
      <c r="B23" s="1223"/>
      <c r="C23" s="1224"/>
      <c r="D23" s="1224"/>
      <c r="E23" s="1224"/>
      <c r="F23" s="1224"/>
      <c r="G23" s="1225"/>
    </row>
    <row r="24" spans="1:8" ht="13.5">
      <c r="A24" s="1226" t="s">
        <v>360</v>
      </c>
      <c r="B24" s="1230"/>
      <c r="C24" s="1230"/>
      <c r="D24" s="1230"/>
      <c r="E24" s="1230"/>
      <c r="F24" s="1230"/>
      <c r="G24" s="1225"/>
    </row>
    <row r="25" spans="1:8">
      <c r="A25" s="5" t="s">
        <v>86</v>
      </c>
      <c r="B25" s="5" t="s">
        <v>8</v>
      </c>
      <c r="C25" s="5" t="s">
        <v>2</v>
      </c>
      <c r="D25" s="1219" t="s">
        <v>149</v>
      </c>
      <c r="E25" s="1219"/>
      <c r="F25" s="81"/>
      <c r="G25" s="82"/>
    </row>
    <row r="26" spans="1:8">
      <c r="A26" s="5">
        <v>2</v>
      </c>
      <c r="B26" s="7" t="s">
        <v>243</v>
      </c>
      <c r="C26" s="50">
        <f>SUM(C27:C30)</f>
        <v>11</v>
      </c>
      <c r="D26" s="1218"/>
      <c r="E26" s="1218"/>
      <c r="F26" s="84"/>
      <c r="G26" s="85"/>
    </row>
    <row r="27" spans="1:8">
      <c r="A27" s="8" t="s">
        <v>3</v>
      </c>
      <c r="B27" s="12" t="s">
        <v>4</v>
      </c>
      <c r="C27" s="15">
        <v>9</v>
      </c>
      <c r="D27" s="1218"/>
      <c r="E27" s="1218"/>
      <c r="F27" s="84"/>
      <c r="G27" s="85"/>
    </row>
    <row r="28" spans="1:8">
      <c r="A28" s="11" t="s">
        <v>5</v>
      </c>
      <c r="B28" s="12" t="s">
        <v>144</v>
      </c>
      <c r="C28" s="15">
        <v>1</v>
      </c>
      <c r="D28" s="1218"/>
      <c r="E28" s="1218"/>
      <c r="F28" s="84"/>
      <c r="G28" s="85"/>
    </row>
    <row r="29" spans="1:8">
      <c r="A29" s="8" t="s">
        <v>145</v>
      </c>
      <c r="B29" s="12" t="s">
        <v>146</v>
      </c>
      <c r="C29" s="15">
        <v>1</v>
      </c>
      <c r="D29" s="1220"/>
      <c r="E29" s="1229"/>
      <c r="F29" s="174"/>
      <c r="G29" s="85"/>
    </row>
    <row r="30" spans="1:8">
      <c r="A30" s="8" t="s">
        <v>244</v>
      </c>
      <c r="B30" s="12" t="s">
        <v>245</v>
      </c>
      <c r="C30" s="15">
        <v>0</v>
      </c>
      <c r="D30" s="88"/>
      <c r="E30" s="174"/>
      <c r="F30" s="174"/>
      <c r="G30" s="85"/>
    </row>
    <row r="31" spans="1:8">
      <c r="A31" s="5">
        <v>3</v>
      </c>
      <c r="B31" s="7" t="s">
        <v>14</v>
      </c>
      <c r="C31" s="50">
        <f>SUM(C32:C34)</f>
        <v>19.149999999999999</v>
      </c>
      <c r="D31" s="1218"/>
      <c r="E31" s="1218"/>
      <c r="F31" s="84"/>
      <c r="G31" s="85"/>
    </row>
    <row r="32" spans="1:8">
      <c r="A32" s="8" t="s">
        <v>6</v>
      </c>
      <c r="B32" s="12" t="s">
        <v>7</v>
      </c>
      <c r="C32" s="15">
        <v>12.75</v>
      </c>
      <c r="D32" s="1218"/>
      <c r="E32" s="1218"/>
      <c r="F32" s="84"/>
      <c r="G32" s="85"/>
    </row>
    <row r="33" spans="1:7">
      <c r="A33" s="11" t="s">
        <v>12</v>
      </c>
      <c r="B33" s="12" t="s">
        <v>15</v>
      </c>
      <c r="C33" s="15">
        <v>3.4</v>
      </c>
      <c r="D33" s="1218"/>
      <c r="E33" s="1218"/>
      <c r="F33" s="84"/>
      <c r="G33" s="85"/>
    </row>
    <row r="34" spans="1:7">
      <c r="A34" s="11" t="s">
        <v>13</v>
      </c>
      <c r="B34" s="12" t="s">
        <v>148</v>
      </c>
      <c r="C34" s="15">
        <v>3</v>
      </c>
      <c r="D34" s="1218"/>
      <c r="E34" s="1218"/>
      <c r="F34" s="84"/>
      <c r="G34" s="85"/>
    </row>
    <row r="35" spans="1:7">
      <c r="A35" s="5">
        <v>4</v>
      </c>
      <c r="B35" s="16" t="s">
        <v>17</v>
      </c>
      <c r="C35" s="15">
        <v>0</v>
      </c>
      <c r="D35" s="1218"/>
      <c r="E35" s="1218"/>
      <c r="F35" s="84"/>
      <c r="G35" s="85"/>
    </row>
    <row r="36" spans="1:7">
      <c r="A36" s="11" t="s">
        <v>16</v>
      </c>
      <c r="B36" s="12" t="s">
        <v>84</v>
      </c>
      <c r="C36" s="15">
        <v>0</v>
      </c>
      <c r="D36" s="1218"/>
      <c r="E36" s="1218"/>
      <c r="F36" s="84"/>
      <c r="G36" s="85"/>
    </row>
    <row r="37" spans="1:7" ht="25.5">
      <c r="A37" s="5">
        <v>5</v>
      </c>
      <c r="B37" s="90" t="s">
        <v>26</v>
      </c>
      <c r="C37" s="15">
        <v>9.0847999999999995</v>
      </c>
      <c r="D37" s="1218"/>
      <c r="E37" s="1218"/>
      <c r="F37" s="84"/>
      <c r="G37" s="85"/>
    </row>
    <row r="38" spans="1:7">
      <c r="A38" s="17" t="s">
        <v>147</v>
      </c>
      <c r="B38" s="16" t="s">
        <v>150</v>
      </c>
      <c r="C38" s="15">
        <v>0.32912000000000002</v>
      </c>
      <c r="D38" s="1219"/>
      <c r="E38" s="1219"/>
      <c r="F38" s="81"/>
      <c r="G38" s="85"/>
    </row>
    <row r="39" spans="1:7">
      <c r="A39" s="5">
        <v>6</v>
      </c>
      <c r="B39" s="7" t="s">
        <v>85</v>
      </c>
      <c r="C39" s="50">
        <f>SUM(C26+C31+C35+C37)</f>
        <v>39.2348</v>
      </c>
      <c r="D39" s="1218"/>
      <c r="E39" s="1218"/>
      <c r="F39" s="84"/>
      <c r="G39" s="85"/>
    </row>
    <row r="40" spans="1:7">
      <c r="A40" s="1222"/>
      <c r="B40" s="1223"/>
      <c r="C40" s="1224"/>
      <c r="D40" s="1224"/>
      <c r="E40" s="1224"/>
      <c r="F40" s="1224"/>
      <c r="G40" s="1225"/>
    </row>
    <row r="41" spans="1:7" ht="15.75">
      <c r="A41" s="1226" t="s">
        <v>361</v>
      </c>
      <c r="B41" s="1227"/>
      <c r="C41" s="1227"/>
      <c r="D41" s="1227"/>
      <c r="E41" s="1227"/>
      <c r="F41" s="1227"/>
      <c r="G41" s="1228"/>
    </row>
    <row r="42" spans="1:7">
      <c r="A42" s="5" t="s">
        <v>86</v>
      </c>
      <c r="B42" s="5" t="s">
        <v>8</v>
      </c>
      <c r="C42" s="5" t="s">
        <v>9</v>
      </c>
      <c r="D42" s="1219" t="s">
        <v>149</v>
      </c>
      <c r="E42" s="1219"/>
      <c r="F42" s="81"/>
      <c r="G42" s="82"/>
    </row>
    <row r="43" spans="1:7">
      <c r="A43" s="5"/>
      <c r="B43" s="92" t="s">
        <v>10</v>
      </c>
      <c r="C43" s="1218"/>
      <c r="D43" s="1218"/>
      <c r="E43" s="1218"/>
      <c r="F43" s="84"/>
      <c r="G43" s="85"/>
    </row>
    <row r="44" spans="1:7">
      <c r="A44" s="5">
        <v>7</v>
      </c>
      <c r="B44" s="7" t="s">
        <v>246</v>
      </c>
      <c r="C44" s="93">
        <f>SUM(C45:C47)</f>
        <v>955002</v>
      </c>
      <c r="D44" s="1218"/>
      <c r="E44" s="1218"/>
      <c r="F44" s="84"/>
      <c r="G44" s="85"/>
    </row>
    <row r="45" spans="1:7">
      <c r="A45" s="8" t="s">
        <v>11</v>
      </c>
      <c r="B45" s="12" t="s">
        <v>19</v>
      </c>
      <c r="C45" s="55">
        <f>683960+95601</f>
        <v>779561</v>
      </c>
      <c r="D45" s="1218"/>
      <c r="E45" s="1218"/>
      <c r="F45" s="84"/>
      <c r="G45" s="85"/>
    </row>
    <row r="46" spans="1:7">
      <c r="A46" s="11" t="s">
        <v>18</v>
      </c>
      <c r="B46" s="12" t="s">
        <v>151</v>
      </c>
      <c r="C46" s="55">
        <v>175441</v>
      </c>
      <c r="D46" s="1218"/>
      <c r="E46" s="1218"/>
      <c r="F46" s="84"/>
      <c r="G46" s="85"/>
    </row>
    <row r="47" spans="1:7">
      <c r="A47" s="8" t="s">
        <v>247</v>
      </c>
      <c r="B47" s="12" t="s">
        <v>248</v>
      </c>
      <c r="C47" s="59">
        <v>0</v>
      </c>
      <c r="D47" s="84"/>
      <c r="E47" s="84"/>
      <c r="F47" s="84"/>
      <c r="G47" s="85"/>
    </row>
    <row r="48" spans="1:7">
      <c r="A48" s="5">
        <v>8</v>
      </c>
      <c r="B48" s="7" t="s">
        <v>109</v>
      </c>
      <c r="C48" s="93">
        <f>SUM(C49:C51)</f>
        <v>799812.61</v>
      </c>
      <c r="D48" s="1218"/>
      <c r="E48" s="1218"/>
      <c r="F48" s="84"/>
      <c r="G48" s="85"/>
    </row>
    <row r="49" spans="1:7">
      <c r="A49" s="19" t="s">
        <v>20</v>
      </c>
      <c r="B49" s="20" t="s">
        <v>23</v>
      </c>
      <c r="C49" s="55">
        <v>515906</v>
      </c>
      <c r="D49" s="1218"/>
      <c r="E49" s="1218"/>
      <c r="F49" s="84"/>
      <c r="G49" s="85"/>
    </row>
    <row r="50" spans="1:7">
      <c r="A50" s="11" t="s">
        <v>21</v>
      </c>
      <c r="B50" s="12" t="s">
        <v>24</v>
      </c>
      <c r="C50" s="55">
        <v>132575</v>
      </c>
      <c r="D50" s="1218"/>
      <c r="E50" s="1218"/>
      <c r="F50" s="84"/>
      <c r="G50" s="85"/>
    </row>
    <row r="51" spans="1:7">
      <c r="A51" s="11" t="s">
        <v>22</v>
      </c>
      <c r="B51" s="12" t="s">
        <v>25</v>
      </c>
      <c r="C51" s="55">
        <f>151326+5.61</f>
        <v>151331.60999999999</v>
      </c>
      <c r="D51" s="1218"/>
      <c r="E51" s="1218"/>
      <c r="F51" s="84"/>
      <c r="G51" s="85"/>
    </row>
    <row r="52" spans="1:7" ht="25.5">
      <c r="A52" s="21">
        <v>9</v>
      </c>
      <c r="B52" s="22" t="s">
        <v>27</v>
      </c>
      <c r="C52" s="56">
        <f>91643+14031</f>
        <v>105674</v>
      </c>
      <c r="D52" s="1218"/>
      <c r="E52" s="1218"/>
      <c r="F52" s="84"/>
      <c r="G52" s="85"/>
    </row>
    <row r="53" spans="1:7">
      <c r="A53" s="21">
        <v>10</v>
      </c>
      <c r="B53" s="22" t="s">
        <v>249</v>
      </c>
      <c r="C53" s="56">
        <f>SUM(C44+C48+C52)</f>
        <v>1860488.6099999999</v>
      </c>
      <c r="D53" s="88"/>
      <c r="E53" s="94"/>
      <c r="F53" s="94"/>
      <c r="G53" s="85"/>
    </row>
    <row r="54" spans="1:7">
      <c r="A54" s="21"/>
      <c r="B54" s="22"/>
      <c r="C54" s="55"/>
      <c r="D54" s="1220"/>
      <c r="E54" s="1221"/>
      <c r="F54" s="94"/>
      <c r="G54" s="85"/>
    </row>
    <row r="55" spans="1:7">
      <c r="A55" s="225"/>
      <c r="B55" s="226" t="s">
        <v>250</v>
      </c>
      <c r="C55" s="227"/>
      <c r="D55" s="1333"/>
      <c r="E55" s="1330"/>
      <c r="F55" s="228"/>
      <c r="G55" s="229"/>
    </row>
    <row r="56" spans="1:7" ht="25.5">
      <c r="A56" s="230">
        <v>11</v>
      </c>
      <c r="B56" s="231" t="s">
        <v>251</v>
      </c>
      <c r="C56" s="232">
        <f>SUM(C57:C59)</f>
        <v>92668</v>
      </c>
      <c r="D56" s="1330"/>
      <c r="E56" s="1330"/>
      <c r="F56" s="228"/>
      <c r="G56" s="229"/>
    </row>
    <row r="57" spans="1:7">
      <c r="A57" s="233" t="s">
        <v>30</v>
      </c>
      <c r="B57" s="234" t="s">
        <v>28</v>
      </c>
      <c r="C57" s="235">
        <v>92668</v>
      </c>
      <c r="D57" s="1330"/>
      <c r="E57" s="1330"/>
      <c r="F57" s="228"/>
      <c r="G57" s="229"/>
    </row>
    <row r="58" spans="1:7">
      <c r="A58" s="233" t="s">
        <v>32</v>
      </c>
      <c r="B58" s="234" t="s">
        <v>363</v>
      </c>
      <c r="C58" s="235" t="s">
        <v>378</v>
      </c>
      <c r="D58" s="1330"/>
      <c r="E58" s="1330"/>
      <c r="F58" s="228"/>
      <c r="G58" s="229"/>
    </row>
    <row r="59" spans="1:7">
      <c r="A59" s="233" t="s">
        <v>34</v>
      </c>
      <c r="B59" s="234" t="s">
        <v>29</v>
      </c>
      <c r="C59" s="235" t="s">
        <v>378</v>
      </c>
      <c r="D59" s="1330"/>
      <c r="E59" s="1330"/>
      <c r="F59" s="228"/>
      <c r="G59" s="229"/>
    </row>
    <row r="60" spans="1:7" ht="38.25">
      <c r="A60" s="230">
        <v>12</v>
      </c>
      <c r="B60" s="231" t="s">
        <v>252</v>
      </c>
      <c r="C60" s="236">
        <f>SUM(C61+C62+C64+C65+C66)</f>
        <v>643307</v>
      </c>
      <c r="D60" s="1330"/>
      <c r="E60" s="1330"/>
      <c r="F60" s="228"/>
      <c r="G60" s="229"/>
    </row>
    <row r="61" spans="1:7">
      <c r="A61" s="233" t="s">
        <v>36</v>
      </c>
      <c r="B61" s="234" t="s">
        <v>31</v>
      </c>
      <c r="C61" s="235">
        <v>218059</v>
      </c>
      <c r="D61" s="1330"/>
      <c r="E61" s="1330"/>
      <c r="F61" s="228"/>
      <c r="G61" s="229"/>
    </row>
    <row r="62" spans="1:7">
      <c r="A62" s="233" t="s">
        <v>38</v>
      </c>
      <c r="B62" s="234" t="s">
        <v>206</v>
      </c>
      <c r="C62" s="235">
        <v>405261</v>
      </c>
      <c r="D62" s="1330"/>
      <c r="E62" s="1330"/>
      <c r="F62" s="228"/>
      <c r="G62" s="229"/>
    </row>
    <row r="63" spans="1:7">
      <c r="A63" s="233" t="s">
        <v>253</v>
      </c>
      <c r="B63" s="234" t="s">
        <v>33</v>
      </c>
      <c r="C63" s="235" t="s">
        <v>377</v>
      </c>
      <c r="D63" s="1330"/>
      <c r="E63" s="1330"/>
      <c r="F63" s="228"/>
      <c r="G63" s="229"/>
    </row>
    <row r="64" spans="1:7">
      <c r="A64" s="233" t="s">
        <v>39</v>
      </c>
      <c r="B64" s="234" t="s">
        <v>35</v>
      </c>
      <c r="C64" s="235">
        <v>19987</v>
      </c>
      <c r="D64" s="1330"/>
      <c r="E64" s="1330"/>
      <c r="F64" s="228"/>
      <c r="G64" s="229"/>
    </row>
    <row r="65" spans="1:7">
      <c r="A65" s="237" t="s">
        <v>254</v>
      </c>
      <c r="B65" s="234" t="s">
        <v>153</v>
      </c>
      <c r="C65" s="235">
        <v>0</v>
      </c>
      <c r="D65" s="1330"/>
      <c r="E65" s="1330"/>
      <c r="F65" s="228"/>
    </row>
    <row r="66" spans="1:7">
      <c r="A66" s="237" t="s">
        <v>255</v>
      </c>
      <c r="B66" s="238" t="s">
        <v>216</v>
      </c>
      <c r="C66" s="235">
        <v>0</v>
      </c>
      <c r="D66" s="1330"/>
      <c r="E66" s="1330"/>
      <c r="F66" s="228"/>
    </row>
    <row r="67" spans="1:7">
      <c r="A67" s="230">
        <v>13</v>
      </c>
      <c r="B67" s="239" t="s">
        <v>256</v>
      </c>
      <c r="C67" s="236">
        <f>SUM(C68:C69)</f>
        <v>18696</v>
      </c>
      <c r="D67" s="1330"/>
      <c r="E67" s="1330"/>
      <c r="F67" s="228"/>
      <c r="G67" s="229"/>
    </row>
    <row r="68" spans="1:7">
      <c r="A68" s="233" t="s">
        <v>156</v>
      </c>
      <c r="B68" s="238" t="s">
        <v>40</v>
      </c>
      <c r="C68" s="235">
        <v>1025</v>
      </c>
      <c r="D68" s="1330"/>
      <c r="E68" s="1330"/>
      <c r="F68" s="228"/>
      <c r="G68" s="229"/>
    </row>
    <row r="69" spans="1:7">
      <c r="A69" s="233" t="s">
        <v>157</v>
      </c>
      <c r="B69" s="238" t="s">
        <v>41</v>
      </c>
      <c r="C69" s="235">
        <v>17671</v>
      </c>
      <c r="D69" s="1330"/>
      <c r="E69" s="1330"/>
      <c r="F69" s="228"/>
      <c r="G69" s="229"/>
    </row>
    <row r="70" spans="1:7">
      <c r="A70" s="225">
        <v>14</v>
      </c>
      <c r="B70" s="240" t="s">
        <v>257</v>
      </c>
      <c r="C70" s="236">
        <v>0</v>
      </c>
      <c r="D70" s="1330"/>
      <c r="E70" s="1330"/>
      <c r="F70" s="228"/>
      <c r="G70" s="229"/>
    </row>
    <row r="71" spans="1:7">
      <c r="A71" s="241" t="s">
        <v>42</v>
      </c>
      <c r="B71" s="242" t="s">
        <v>155</v>
      </c>
      <c r="C71" s="235">
        <v>265</v>
      </c>
      <c r="D71" s="1333"/>
      <c r="E71" s="1333"/>
      <c r="F71" s="243"/>
      <c r="G71" s="229"/>
    </row>
    <row r="72" spans="1:7">
      <c r="A72" s="241" t="s">
        <v>43</v>
      </c>
      <c r="B72" s="244" t="s">
        <v>258</v>
      </c>
      <c r="C72" s="235">
        <v>0</v>
      </c>
      <c r="D72" s="243"/>
      <c r="E72" s="243"/>
      <c r="F72" s="243"/>
      <c r="G72" s="229"/>
    </row>
    <row r="73" spans="1:7">
      <c r="A73" s="241" t="s">
        <v>45</v>
      </c>
      <c r="B73" s="245" t="s">
        <v>44</v>
      </c>
      <c r="C73" s="235">
        <v>0</v>
      </c>
      <c r="D73" s="1330"/>
      <c r="E73" s="1330"/>
      <c r="F73" s="228"/>
      <c r="G73" s="229"/>
    </row>
    <row r="74" spans="1:7">
      <c r="A74" s="241" t="s">
        <v>154</v>
      </c>
      <c r="B74" s="245" t="s">
        <v>46</v>
      </c>
      <c r="C74" s="235">
        <v>0</v>
      </c>
      <c r="D74" s="1330"/>
      <c r="E74" s="1330"/>
      <c r="F74" s="228"/>
      <c r="G74" s="229"/>
    </row>
    <row r="75" spans="1:7">
      <c r="A75" s="246" t="s">
        <v>259</v>
      </c>
      <c r="B75" s="245" t="s">
        <v>104</v>
      </c>
      <c r="C75" s="235"/>
      <c r="D75" s="1330"/>
      <c r="E75" s="1330"/>
      <c r="F75" s="228"/>
      <c r="G75" s="229"/>
    </row>
    <row r="76" spans="1:7">
      <c r="A76" s="247">
        <v>15</v>
      </c>
      <c r="B76" s="240" t="s">
        <v>260</v>
      </c>
      <c r="C76" s="248"/>
      <c r="D76" s="228"/>
      <c r="E76" s="228"/>
      <c r="F76" s="228"/>
      <c r="G76" s="229"/>
    </row>
    <row r="77" spans="1:7">
      <c r="A77" s="109"/>
      <c r="B77" s="82"/>
      <c r="C77" s="58"/>
      <c r="D77" s="84"/>
      <c r="E77" s="84"/>
      <c r="F77" s="84"/>
      <c r="G77" s="85"/>
    </row>
    <row r="78" spans="1:7">
      <c r="A78" s="109"/>
      <c r="B78" s="111" t="s">
        <v>261</v>
      </c>
      <c r="C78" s="55"/>
      <c r="D78" s="1218"/>
      <c r="E78" s="1218"/>
      <c r="F78" s="84"/>
      <c r="G78" s="85"/>
    </row>
    <row r="79" spans="1:7">
      <c r="A79" s="109"/>
      <c r="C79" s="55"/>
      <c r="D79" s="84"/>
      <c r="E79" s="84"/>
      <c r="F79" s="84"/>
      <c r="G79" s="85"/>
    </row>
    <row r="80" spans="1:7">
      <c r="A80" s="95">
        <v>16</v>
      </c>
      <c r="B80" s="112" t="s">
        <v>262</v>
      </c>
      <c r="C80" s="59">
        <f>SUM(C81:C85)</f>
        <v>11017.27</v>
      </c>
      <c r="D80" s="84"/>
      <c r="E80" s="84"/>
      <c r="F80" s="84"/>
      <c r="G80" s="85"/>
    </row>
    <row r="81" spans="1:7">
      <c r="A81" s="109" t="s">
        <v>263</v>
      </c>
      <c r="B81" s="85" t="s">
        <v>264</v>
      </c>
      <c r="C81" s="55">
        <v>0</v>
      </c>
      <c r="D81" s="84"/>
      <c r="E81" s="84"/>
      <c r="F81" s="84"/>
      <c r="G81" s="85"/>
    </row>
    <row r="82" spans="1:7" ht="25.5">
      <c r="A82" s="109" t="s">
        <v>192</v>
      </c>
      <c r="B82" s="113" t="s">
        <v>207</v>
      </c>
      <c r="C82" s="55">
        <v>8531.7099999999991</v>
      </c>
      <c r="D82" s="84"/>
      <c r="E82" s="84"/>
      <c r="F82" s="84"/>
      <c r="G82" s="85"/>
    </row>
    <row r="83" spans="1:7">
      <c r="A83" s="109" t="s">
        <v>193</v>
      </c>
      <c r="B83" s="85" t="s">
        <v>158</v>
      </c>
      <c r="C83" s="55">
        <v>493.6</v>
      </c>
      <c r="D83" s="84"/>
      <c r="E83" s="84"/>
      <c r="F83" s="84"/>
      <c r="G83" s="85"/>
    </row>
    <row r="84" spans="1:7">
      <c r="A84" s="109" t="s">
        <v>265</v>
      </c>
      <c r="B84" s="85" t="s">
        <v>159</v>
      </c>
      <c r="C84" s="55">
        <v>323</v>
      </c>
      <c r="D84" s="84"/>
      <c r="E84" s="84"/>
      <c r="F84" s="84"/>
      <c r="G84" s="85"/>
    </row>
    <row r="85" spans="1:7">
      <c r="A85" s="109" t="s">
        <v>266</v>
      </c>
      <c r="B85" s="85" t="s">
        <v>160</v>
      </c>
      <c r="C85" s="55">
        <v>1668.96</v>
      </c>
      <c r="D85" s="84"/>
      <c r="E85" s="84"/>
      <c r="F85" s="84"/>
      <c r="G85" s="85"/>
    </row>
    <row r="86" spans="1:7">
      <c r="A86" s="110">
        <v>17</v>
      </c>
      <c r="B86" s="111" t="s">
        <v>191</v>
      </c>
      <c r="C86" s="59" t="s">
        <v>400</v>
      </c>
      <c r="D86" s="1218"/>
      <c r="E86" s="1218"/>
      <c r="F86" s="84"/>
      <c r="G86" s="82"/>
    </row>
    <row r="87" spans="1:7">
      <c r="A87" s="110">
        <v>18</v>
      </c>
      <c r="B87" s="82" t="s">
        <v>267</v>
      </c>
      <c r="C87" s="57">
        <f>SUM(C88:C90)</f>
        <v>7056</v>
      </c>
      <c r="D87" s="1218"/>
      <c r="E87" s="1218"/>
      <c r="F87" s="84"/>
      <c r="G87" s="85"/>
    </row>
    <row r="88" spans="1:7">
      <c r="A88" s="105" t="s">
        <v>268</v>
      </c>
      <c r="B88" s="114" t="s">
        <v>47</v>
      </c>
      <c r="C88" s="55">
        <v>819</v>
      </c>
      <c r="D88" s="1218"/>
      <c r="E88" s="1218"/>
      <c r="F88" s="84"/>
      <c r="G88" s="85"/>
    </row>
    <row r="89" spans="1:7">
      <c r="A89" s="105" t="s">
        <v>269</v>
      </c>
      <c r="B89" s="114" t="s">
        <v>48</v>
      </c>
      <c r="C89" s="55">
        <v>6237</v>
      </c>
      <c r="D89" s="1218"/>
      <c r="E89" s="1218"/>
      <c r="F89" s="84"/>
      <c r="G89" s="85"/>
    </row>
    <row r="90" spans="1:7">
      <c r="A90" s="105" t="s">
        <v>270</v>
      </c>
      <c r="B90" s="114" t="s">
        <v>105</v>
      </c>
      <c r="C90" s="96" t="s">
        <v>400</v>
      </c>
      <c r="D90" s="1218"/>
      <c r="E90" s="1218"/>
      <c r="F90" s="84"/>
      <c r="G90" s="85"/>
    </row>
    <row r="91" spans="1:7">
      <c r="A91" s="110">
        <v>19</v>
      </c>
      <c r="B91" s="85" t="s">
        <v>205</v>
      </c>
      <c r="C91" s="96">
        <v>19087</v>
      </c>
      <c r="D91" s="1218"/>
      <c r="E91" s="1218"/>
      <c r="F91" s="84"/>
      <c r="G91" s="85"/>
    </row>
    <row r="92" spans="1:7" ht="38.25">
      <c r="A92" s="110">
        <v>20</v>
      </c>
      <c r="B92" s="113" t="s">
        <v>106</v>
      </c>
      <c r="C92" s="96">
        <v>64262</v>
      </c>
      <c r="D92" s="1218"/>
      <c r="E92" s="1218"/>
      <c r="F92" s="84"/>
      <c r="G92" s="85"/>
    </row>
    <row r="93" spans="1:7">
      <c r="A93" s="110">
        <v>21</v>
      </c>
      <c r="B93" s="85" t="s">
        <v>103</v>
      </c>
      <c r="C93" s="96">
        <v>36078</v>
      </c>
      <c r="D93" s="1218"/>
      <c r="E93" s="1218"/>
      <c r="F93" s="84"/>
      <c r="G93" s="85"/>
    </row>
    <row r="94" spans="1:7" ht="38.25" customHeight="1">
      <c r="A94" s="247">
        <v>22</v>
      </c>
      <c r="B94" s="113" t="s">
        <v>553</v>
      </c>
      <c r="C94" s="249">
        <v>161861</v>
      </c>
      <c r="D94" s="1331" t="s">
        <v>554</v>
      </c>
      <c r="E94" s="1332"/>
      <c r="F94" s="116"/>
      <c r="G94" s="250"/>
    </row>
    <row r="95" spans="1:7" ht="25.5">
      <c r="A95" s="110">
        <v>23</v>
      </c>
      <c r="B95" s="113" t="s">
        <v>271</v>
      </c>
      <c r="C95" s="118">
        <f>SUM(C53,C76,C80,C86,C87,C91,C92,C93,C94)</f>
        <v>2159849.88</v>
      </c>
      <c r="D95" s="1218"/>
      <c r="E95" s="1218"/>
      <c r="F95" s="84"/>
      <c r="G95" s="85"/>
    </row>
    <row r="96" spans="1:7">
      <c r="A96" s="109" t="s">
        <v>108</v>
      </c>
      <c r="B96" s="114" t="s">
        <v>49</v>
      </c>
      <c r="C96" s="96">
        <v>690248</v>
      </c>
      <c r="D96" s="1218"/>
      <c r="E96" s="1218"/>
      <c r="F96" s="84"/>
      <c r="G96" s="85"/>
    </row>
    <row r="97" spans="1:7" ht="15">
      <c r="A97" s="110">
        <v>24</v>
      </c>
      <c r="B97" s="85" t="s">
        <v>272</v>
      </c>
      <c r="C97" s="119">
        <f>SUM(C95,C96)</f>
        <v>2850097.88</v>
      </c>
      <c r="D97" s="1218"/>
      <c r="E97" s="1218"/>
      <c r="F97" s="84"/>
      <c r="G97" s="85"/>
    </row>
    <row r="99" spans="1:7" ht="15.75">
      <c r="A99" s="1199" t="s">
        <v>362</v>
      </c>
      <c r="B99" s="1204"/>
      <c r="C99" s="1204"/>
      <c r="D99" s="1204"/>
      <c r="E99" s="1204"/>
      <c r="F99" s="1204"/>
      <c r="G99" s="1205"/>
    </row>
    <row r="100" spans="1:7">
      <c r="A100" s="30" t="s">
        <v>86</v>
      </c>
      <c r="B100" s="30" t="s">
        <v>8</v>
      </c>
      <c r="C100" s="32" t="s">
        <v>50</v>
      </c>
      <c r="D100" s="32" t="s">
        <v>51</v>
      </c>
      <c r="E100" s="32" t="s">
        <v>52</v>
      </c>
      <c r="F100" s="32"/>
      <c r="G100" s="121" t="s">
        <v>149</v>
      </c>
    </row>
    <row r="101" spans="1:7">
      <c r="A101" s="1206"/>
      <c r="B101" s="1208" t="s">
        <v>273</v>
      </c>
      <c r="C101" s="1210"/>
      <c r="D101" s="1203"/>
      <c r="E101" s="1203"/>
      <c r="F101" s="123"/>
      <c r="G101" s="1211"/>
    </row>
    <row r="102" spans="1:7" ht="23.25" customHeight="1">
      <c r="A102" s="1207"/>
      <c r="B102" s="1209"/>
      <c r="C102" s="1203"/>
      <c r="D102" s="1203"/>
      <c r="E102" s="1203"/>
      <c r="F102" s="125"/>
      <c r="G102" s="1212"/>
    </row>
    <row r="103" spans="1:7">
      <c r="A103" s="30">
        <v>25</v>
      </c>
      <c r="B103" s="6" t="s">
        <v>274</v>
      </c>
      <c r="C103" s="51">
        <f>SUM(C104,C107:C110)</f>
        <v>6926</v>
      </c>
      <c r="D103" s="51">
        <f>SUM(D104,D107:D110)</f>
        <v>7308</v>
      </c>
      <c r="E103" s="51">
        <f>SUM(E104,E107:E110)</f>
        <v>578286</v>
      </c>
      <c r="F103" s="34"/>
      <c r="G103" s="10"/>
    </row>
    <row r="104" spans="1:7">
      <c r="A104" s="25" t="s">
        <v>91</v>
      </c>
      <c r="B104" s="13" t="s">
        <v>53</v>
      </c>
      <c r="C104" s="51">
        <v>2387</v>
      </c>
      <c r="D104" s="51">
        <v>857</v>
      </c>
      <c r="E104" s="34">
        <f>519610+C104-D104</f>
        <v>521140</v>
      </c>
      <c r="F104" s="34"/>
      <c r="G104" s="10"/>
    </row>
    <row r="105" spans="1:7">
      <c r="A105" s="25" t="s">
        <v>194</v>
      </c>
      <c r="B105" s="35" t="s">
        <v>54</v>
      </c>
      <c r="C105" s="34">
        <f>1751+145</f>
        <v>1896</v>
      </c>
      <c r="D105" s="25" t="s">
        <v>377</v>
      </c>
      <c r="E105" s="34" t="s">
        <v>201</v>
      </c>
      <c r="F105" s="34"/>
    </row>
    <row r="106" spans="1:7">
      <c r="A106" s="25" t="s">
        <v>195</v>
      </c>
      <c r="B106" s="35" t="s">
        <v>55</v>
      </c>
      <c r="C106" s="34">
        <f>636+51</f>
        <v>687</v>
      </c>
      <c r="D106" s="25" t="s">
        <v>377</v>
      </c>
      <c r="E106" s="34" t="s">
        <v>201</v>
      </c>
      <c r="F106" s="34"/>
      <c r="G106" s="10"/>
    </row>
    <row r="107" spans="1:7">
      <c r="A107" s="25" t="s">
        <v>93</v>
      </c>
      <c r="B107" s="13" t="s">
        <v>56</v>
      </c>
      <c r="C107" s="34">
        <v>1225</v>
      </c>
      <c r="D107" s="34">
        <v>992</v>
      </c>
      <c r="E107" s="34">
        <f>43196+C107-D107</f>
        <v>43429</v>
      </c>
      <c r="F107" s="34"/>
      <c r="G107" s="10"/>
    </row>
    <row r="108" spans="1:7">
      <c r="A108" s="25" t="s">
        <v>275</v>
      </c>
      <c r="B108" s="13" t="s">
        <v>57</v>
      </c>
      <c r="C108" s="34">
        <v>7</v>
      </c>
      <c r="D108" s="34">
        <v>19</v>
      </c>
      <c r="E108" s="34">
        <f>11317+C108-D108</f>
        <v>11305</v>
      </c>
      <c r="F108" s="34"/>
      <c r="G108" s="10"/>
    </row>
    <row r="109" spans="1:7">
      <c r="A109" s="25" t="s">
        <v>276</v>
      </c>
      <c r="B109" s="13" t="s">
        <v>58</v>
      </c>
      <c r="C109" s="34">
        <v>87</v>
      </c>
      <c r="D109" s="34">
        <v>301</v>
      </c>
      <c r="E109" s="34">
        <f>2626+C109-D109</f>
        <v>2412</v>
      </c>
      <c r="F109" s="34"/>
      <c r="G109" s="10"/>
    </row>
    <row r="110" spans="1:7">
      <c r="A110" s="27" t="s">
        <v>277</v>
      </c>
      <c r="B110" s="13" t="s">
        <v>139</v>
      </c>
      <c r="C110" s="52">
        <v>3220</v>
      </c>
      <c r="D110" s="51">
        <v>5139</v>
      </c>
      <c r="E110" s="34">
        <v>0</v>
      </c>
      <c r="F110" s="34"/>
    </row>
    <row r="111" spans="1:7">
      <c r="A111" s="30">
        <v>26</v>
      </c>
      <c r="B111" s="18" t="s">
        <v>278</v>
      </c>
      <c r="C111" s="34">
        <f>SUM(C112,C113)</f>
        <v>17390</v>
      </c>
      <c r="D111" s="34">
        <f>SUM(D112,D113)</f>
        <v>2291</v>
      </c>
      <c r="E111" s="34">
        <f>E112+E113</f>
        <v>82431</v>
      </c>
      <c r="F111" s="34"/>
      <c r="G111" s="10"/>
    </row>
    <row r="112" spans="1:7">
      <c r="A112" s="25" t="s">
        <v>92</v>
      </c>
      <c r="B112" s="13" t="s">
        <v>59</v>
      </c>
      <c r="C112" s="213">
        <v>9438</v>
      </c>
      <c r="D112" s="213">
        <v>2291</v>
      </c>
      <c r="E112" s="213">
        <f>45653+C112-D112</f>
        <v>52800</v>
      </c>
      <c r="F112" s="34"/>
    </row>
    <row r="113" spans="1:7">
      <c r="A113" s="27" t="s">
        <v>94</v>
      </c>
      <c r="B113" s="13" t="s">
        <v>164</v>
      </c>
      <c r="C113" s="34">
        <v>7952</v>
      </c>
      <c r="D113" s="34">
        <v>0</v>
      </c>
      <c r="E113" s="34">
        <f>21679+C113-D113</f>
        <v>29631</v>
      </c>
      <c r="F113" s="34"/>
      <c r="G113" s="10"/>
    </row>
    <row r="114" spans="1:7">
      <c r="A114" s="25"/>
      <c r="B114" s="13"/>
      <c r="C114" s="34"/>
      <c r="D114" s="34"/>
      <c r="E114" s="34"/>
      <c r="F114" s="34"/>
      <c r="G114" s="10"/>
    </row>
    <row r="115" spans="1:7" ht="38.25">
      <c r="A115" s="36">
        <v>27</v>
      </c>
      <c r="B115" s="33" t="s">
        <v>279</v>
      </c>
      <c r="C115" s="51">
        <f>SUM(C116+C119)</f>
        <v>11374</v>
      </c>
      <c r="D115" s="51">
        <f>SUM(D116+D119)</f>
        <v>5337</v>
      </c>
      <c r="E115" s="51">
        <f>SUM(E116+E119)</f>
        <v>53800</v>
      </c>
      <c r="F115" s="34"/>
      <c r="G115" s="10"/>
    </row>
    <row r="116" spans="1:7" ht="25.5">
      <c r="A116" s="30" t="s">
        <v>196</v>
      </c>
      <c r="B116" s="126" t="s">
        <v>280</v>
      </c>
      <c r="C116" s="52">
        <f>SUM(C117,C118)</f>
        <v>6</v>
      </c>
      <c r="D116" s="52">
        <f>SUM(D117:D118)</f>
        <v>66</v>
      </c>
      <c r="E116" s="52">
        <f>SUM(E117:E118)</f>
        <v>21644</v>
      </c>
      <c r="F116" s="25"/>
      <c r="G116" s="10"/>
    </row>
    <row r="117" spans="1:7">
      <c r="A117" s="25" t="s">
        <v>281</v>
      </c>
      <c r="B117" s="35" t="s">
        <v>124</v>
      </c>
      <c r="C117" s="251">
        <v>6</v>
      </c>
      <c r="D117" s="251">
        <v>66</v>
      </c>
      <c r="E117" s="251">
        <f>521+C117-D117</f>
        <v>461</v>
      </c>
      <c r="F117" s="251"/>
    </row>
    <row r="118" spans="1:7">
      <c r="A118" s="25" t="s">
        <v>282</v>
      </c>
      <c r="B118" s="35" t="s">
        <v>125</v>
      </c>
      <c r="C118" s="251" t="s">
        <v>555</v>
      </c>
      <c r="D118" s="251" t="s">
        <v>555</v>
      </c>
      <c r="E118" s="252">
        <v>21183</v>
      </c>
      <c r="F118" s="251"/>
      <c r="G118" s="253"/>
    </row>
    <row r="119" spans="1:7" ht="25.5">
      <c r="A119" s="30" t="s">
        <v>283</v>
      </c>
      <c r="B119" s="126" t="s">
        <v>284</v>
      </c>
      <c r="C119" s="52">
        <f>SUM(C120:C122)</f>
        <v>11368</v>
      </c>
      <c r="D119" s="52">
        <f>SUM(D120:D122)</f>
        <v>5271</v>
      </c>
      <c r="E119" s="52">
        <f>SUM(E120:E122)</f>
        <v>32156</v>
      </c>
      <c r="F119" s="25"/>
      <c r="G119" s="10"/>
    </row>
    <row r="120" spans="1:7">
      <c r="A120" s="25" t="s">
        <v>285</v>
      </c>
      <c r="B120" s="35" t="s">
        <v>126</v>
      </c>
      <c r="C120" s="251">
        <v>3</v>
      </c>
      <c r="D120" s="251">
        <v>9</v>
      </c>
      <c r="E120" s="251">
        <f>178+C120-D120</f>
        <v>172</v>
      </c>
      <c r="F120" s="251"/>
      <c r="G120" s="253"/>
    </row>
    <row r="121" spans="1:7">
      <c r="A121" s="27" t="s">
        <v>286</v>
      </c>
      <c r="B121" s="35" t="s">
        <v>287</v>
      </c>
      <c r="C121" s="251" t="s">
        <v>555</v>
      </c>
      <c r="D121" s="251" t="s">
        <v>555</v>
      </c>
      <c r="E121" s="251">
        <v>24786</v>
      </c>
      <c r="F121" s="251"/>
      <c r="G121" s="253"/>
    </row>
    <row r="122" spans="1:7">
      <c r="A122" s="25" t="s">
        <v>288</v>
      </c>
      <c r="B122" s="35" t="s">
        <v>218</v>
      </c>
      <c r="C122" s="25">
        <v>11365</v>
      </c>
      <c r="D122" s="25">
        <v>5262</v>
      </c>
      <c r="E122" s="25">
        <f>1095+C122-D122</f>
        <v>7198</v>
      </c>
      <c r="F122" s="25"/>
      <c r="G122" s="10"/>
    </row>
    <row r="123" spans="1:7">
      <c r="A123" s="25"/>
      <c r="B123" s="35"/>
      <c r="C123" s="25"/>
      <c r="D123" s="25"/>
      <c r="E123" s="25"/>
      <c r="F123" s="25"/>
      <c r="G123" s="10"/>
    </row>
    <row r="124" spans="1:7">
      <c r="A124" s="25" t="s">
        <v>86</v>
      </c>
      <c r="B124" s="25"/>
      <c r="C124" s="25"/>
      <c r="D124" s="25"/>
      <c r="E124" s="25"/>
      <c r="F124" s="25"/>
      <c r="G124" s="10"/>
    </row>
    <row r="125" spans="1:7">
      <c r="A125" s="30">
        <v>28</v>
      </c>
      <c r="B125" s="6" t="s">
        <v>289</v>
      </c>
      <c r="C125" s="52">
        <f>SUM(C126:C127)</f>
        <v>700</v>
      </c>
      <c r="D125" s="52">
        <f>SUM(D126:D127)</f>
        <v>19</v>
      </c>
      <c r="E125" s="52">
        <f>SUM(E126:E127)</f>
        <v>20331</v>
      </c>
      <c r="F125" s="25"/>
      <c r="G125" s="10"/>
    </row>
    <row r="126" spans="1:7">
      <c r="A126" s="25" t="s">
        <v>127</v>
      </c>
      <c r="B126" s="24" t="s">
        <v>40</v>
      </c>
      <c r="C126" s="25">
        <v>68</v>
      </c>
      <c r="D126" s="25">
        <v>2</v>
      </c>
      <c r="E126" s="25">
        <f>11647+C126-D126</f>
        <v>11713</v>
      </c>
      <c r="F126" s="25"/>
      <c r="G126" s="10"/>
    </row>
    <row r="127" spans="1:7">
      <c r="A127" s="25" t="s">
        <v>129</v>
      </c>
      <c r="B127" s="24" t="s">
        <v>41</v>
      </c>
      <c r="C127" s="25">
        <v>632</v>
      </c>
      <c r="D127" s="25">
        <v>17</v>
      </c>
      <c r="E127" s="25">
        <f>8003+C127-D127</f>
        <v>8618</v>
      </c>
      <c r="F127" s="25"/>
      <c r="G127" s="10"/>
    </row>
    <row r="128" spans="1:7">
      <c r="A128" s="25"/>
      <c r="C128" s="25"/>
      <c r="D128" s="25"/>
      <c r="E128" s="25"/>
      <c r="F128" s="25"/>
      <c r="G128" s="10"/>
    </row>
    <row r="129" spans="1:7">
      <c r="A129" s="30">
        <v>29</v>
      </c>
      <c r="B129" s="6" t="s">
        <v>290</v>
      </c>
      <c r="C129" s="25"/>
      <c r="D129" s="25"/>
      <c r="E129" s="25"/>
      <c r="F129" s="25"/>
      <c r="G129" s="10"/>
    </row>
    <row r="130" spans="1:7">
      <c r="A130" s="30" t="s">
        <v>165</v>
      </c>
      <c r="B130" s="6" t="s">
        <v>37</v>
      </c>
      <c r="C130" s="251">
        <f>5+5+71</f>
        <v>81</v>
      </c>
      <c r="D130" s="251">
        <f>65+6</f>
        <v>71</v>
      </c>
      <c r="E130" s="251">
        <f>31041+C130-D130</f>
        <v>31051</v>
      </c>
      <c r="F130" s="251"/>
      <c r="G130" s="253"/>
    </row>
    <row r="131" spans="1:7">
      <c r="A131" s="30" t="s">
        <v>166</v>
      </c>
      <c r="B131" s="6" t="s">
        <v>79</v>
      </c>
      <c r="C131" s="25">
        <v>0</v>
      </c>
      <c r="D131" s="25">
        <v>0</v>
      </c>
      <c r="E131" s="25">
        <f>8275+C131-D131</f>
        <v>8275</v>
      </c>
      <c r="F131" s="25"/>
      <c r="G131" s="10"/>
    </row>
    <row r="132" spans="1:7">
      <c r="A132" s="30" t="s">
        <v>291</v>
      </c>
      <c r="B132" s="29" t="s">
        <v>222</v>
      </c>
      <c r="C132" s="30">
        <v>45</v>
      </c>
      <c r="D132" s="30">
        <v>0</v>
      </c>
      <c r="E132" s="30">
        <f>9820+C132-D132</f>
        <v>9865</v>
      </c>
      <c r="F132" s="30"/>
      <c r="G132" s="6"/>
    </row>
    <row r="133" spans="1:7">
      <c r="A133" s="30" t="s">
        <v>292</v>
      </c>
      <c r="B133" s="29" t="s">
        <v>293</v>
      </c>
      <c r="C133" s="254">
        <f>SUM(C134:C135)</f>
        <v>2785</v>
      </c>
      <c r="D133" s="254">
        <f>SUM(D134:D135)</f>
        <v>54</v>
      </c>
      <c r="E133" s="254">
        <f>SUM(E134:E135)</f>
        <v>606178</v>
      </c>
      <c r="F133" s="254"/>
      <c r="G133" s="255"/>
    </row>
    <row r="134" spans="1:7">
      <c r="A134" s="30" t="s">
        <v>294</v>
      </c>
      <c r="B134" s="29" t="s">
        <v>223</v>
      </c>
      <c r="C134" s="254">
        <f>2700+4</f>
        <v>2704</v>
      </c>
      <c r="D134" s="254">
        <v>54</v>
      </c>
      <c r="E134" s="254">
        <f>133+C134-D134</f>
        <v>2783</v>
      </c>
      <c r="F134" s="254"/>
      <c r="G134" s="255"/>
    </row>
    <row r="135" spans="1:7">
      <c r="A135" s="30" t="s">
        <v>295</v>
      </c>
      <c r="B135" s="37" t="s">
        <v>224</v>
      </c>
      <c r="C135" s="254">
        <v>81</v>
      </c>
      <c r="D135" s="254">
        <v>0</v>
      </c>
      <c r="E135" s="254">
        <f>603314+C135-D135</f>
        <v>603395</v>
      </c>
      <c r="F135" s="254"/>
    </row>
    <row r="136" spans="1:7">
      <c r="A136" s="30" t="s">
        <v>296</v>
      </c>
      <c r="B136" s="37" t="s">
        <v>225</v>
      </c>
      <c r="C136" s="30">
        <v>626</v>
      </c>
      <c r="D136" s="30">
        <v>2637</v>
      </c>
      <c r="E136" s="30">
        <f>391437+C136-D136</f>
        <v>389426</v>
      </c>
      <c r="F136" s="30"/>
      <c r="G136" s="6"/>
    </row>
    <row r="137" spans="1:7">
      <c r="A137" s="25"/>
      <c r="B137" s="6" t="s">
        <v>297</v>
      </c>
      <c r="C137" s="256"/>
      <c r="D137" s="256"/>
      <c r="E137" s="256"/>
      <c r="F137" s="25"/>
      <c r="G137" s="10"/>
    </row>
    <row r="138" spans="1:7">
      <c r="A138" s="38" t="s">
        <v>298</v>
      </c>
      <c r="B138" s="37" t="s">
        <v>197</v>
      </c>
      <c r="C138" s="30">
        <v>0</v>
      </c>
      <c r="D138" s="30">
        <v>0</v>
      </c>
      <c r="E138" s="30">
        <f>7+C138-D138</f>
        <v>7</v>
      </c>
    </row>
    <row r="139" spans="1:7" s="252" customFormat="1">
      <c r="A139" s="257" t="s">
        <v>299</v>
      </c>
      <c r="B139" s="258" t="s">
        <v>198</v>
      </c>
      <c r="C139" s="254">
        <v>0</v>
      </c>
      <c r="D139" s="254">
        <v>0</v>
      </c>
      <c r="E139" s="254">
        <f>4944+462</f>
        <v>5406</v>
      </c>
    </row>
    <row r="140" spans="1:7">
      <c r="A140" s="38" t="s">
        <v>300</v>
      </c>
      <c r="B140" s="37" t="s">
        <v>199</v>
      </c>
      <c r="C140" s="30">
        <v>0</v>
      </c>
      <c r="D140" s="30">
        <v>0</v>
      </c>
      <c r="E140" s="30" t="s">
        <v>556</v>
      </c>
    </row>
    <row r="141" spans="1:7" s="252" customFormat="1">
      <c r="A141" s="257" t="s">
        <v>301</v>
      </c>
      <c r="B141" s="258" t="s">
        <v>200</v>
      </c>
      <c r="C141" s="254" t="s">
        <v>201</v>
      </c>
      <c r="D141" s="254" t="s">
        <v>201</v>
      </c>
      <c r="E141" s="252">
        <f>40503+138261</f>
        <v>178764</v>
      </c>
      <c r="F141" s="254"/>
    </row>
    <row r="142" spans="1:7">
      <c r="A142" s="30" t="s">
        <v>302</v>
      </c>
      <c r="B142" s="37" t="s">
        <v>220</v>
      </c>
      <c r="C142" s="30">
        <v>1617</v>
      </c>
      <c r="D142" s="30">
        <v>0</v>
      </c>
      <c r="E142" s="62">
        <f>C142+1691</f>
        <v>3308</v>
      </c>
      <c r="F142" s="30"/>
      <c r="G142" s="6"/>
    </row>
    <row r="143" spans="1:7">
      <c r="A143" s="30" t="s">
        <v>303</v>
      </c>
      <c r="B143" s="37" t="s">
        <v>221</v>
      </c>
      <c r="C143" s="30">
        <v>161</v>
      </c>
      <c r="D143" s="30">
        <v>0</v>
      </c>
      <c r="E143" s="30">
        <f>339394+C143-D143</f>
        <v>339555</v>
      </c>
      <c r="F143" s="30"/>
    </row>
    <row r="144" spans="1:7">
      <c r="A144" s="1213"/>
      <c r="B144" s="1214"/>
      <c r="C144" s="1215"/>
      <c r="D144" s="1215"/>
      <c r="E144" s="1215"/>
      <c r="F144" s="1215"/>
      <c r="G144" s="1216"/>
    </row>
    <row r="145" spans="1:7" ht="13.5">
      <c r="A145" s="1199" t="s">
        <v>99</v>
      </c>
      <c r="B145" s="1200"/>
      <c r="C145" s="1200"/>
      <c r="D145" s="1200"/>
      <c r="E145" s="1200"/>
      <c r="F145" s="1200"/>
      <c r="G145" s="1200"/>
    </row>
    <row r="147" spans="1:7">
      <c r="A147" s="38">
        <v>30</v>
      </c>
      <c r="B147" s="6" t="s">
        <v>304</v>
      </c>
      <c r="C147" s="53">
        <f>SUM(C148:C149)</f>
        <v>1164454</v>
      </c>
    </row>
    <row r="148" spans="1:7">
      <c r="A148" s="27" t="s">
        <v>169</v>
      </c>
      <c r="B148" s="10" t="s">
        <v>167</v>
      </c>
      <c r="C148" s="170">
        <v>852830</v>
      </c>
    </row>
    <row r="149" spans="1:7">
      <c r="A149" s="27" t="s">
        <v>171</v>
      </c>
      <c r="B149" s="10" t="s">
        <v>168</v>
      </c>
      <c r="C149" s="170">
        <v>311624</v>
      </c>
    </row>
    <row r="150" spans="1:7" ht="24.75">
      <c r="A150" s="38">
        <v>31</v>
      </c>
      <c r="B150" s="33" t="s">
        <v>305</v>
      </c>
      <c r="C150" s="9"/>
    </row>
    <row r="151" spans="1:7">
      <c r="A151" s="27" t="s">
        <v>137</v>
      </c>
      <c r="B151" s="10" t="s">
        <v>170</v>
      </c>
      <c r="C151" s="9">
        <v>229163</v>
      </c>
    </row>
    <row r="152" spans="1:7">
      <c r="A152" s="27" t="s">
        <v>138</v>
      </c>
      <c r="B152" s="10" t="s">
        <v>172</v>
      </c>
      <c r="C152" s="9" t="s">
        <v>378</v>
      </c>
    </row>
    <row r="153" spans="1:7">
      <c r="A153" s="27"/>
      <c r="B153" s="10"/>
      <c r="C153" s="9"/>
    </row>
    <row r="154" spans="1:7">
      <c r="A154" s="30"/>
      <c r="B154" s="1201" t="s">
        <v>306</v>
      </c>
      <c r="C154" s="1202"/>
    </row>
    <row r="155" spans="1:7">
      <c r="A155" s="30">
        <v>32</v>
      </c>
      <c r="B155" s="26" t="s">
        <v>307</v>
      </c>
      <c r="C155" s="52">
        <f>SUM(C156,C157,C163)</f>
        <v>203189</v>
      </c>
    </row>
    <row r="156" spans="1:7">
      <c r="A156" s="25" t="s">
        <v>308</v>
      </c>
      <c r="B156" s="28" t="s">
        <v>69</v>
      </c>
      <c r="C156" s="25">
        <v>63770</v>
      </c>
    </row>
    <row r="157" spans="1:7">
      <c r="A157" s="27" t="s">
        <v>309</v>
      </c>
      <c r="B157" s="28" t="s">
        <v>70</v>
      </c>
      <c r="C157" s="25">
        <v>15656</v>
      </c>
    </row>
    <row r="158" spans="1:7">
      <c r="A158" s="30">
        <v>33</v>
      </c>
      <c r="B158" s="41" t="s">
        <v>71</v>
      </c>
      <c r="C158" s="25">
        <v>67241</v>
      </c>
    </row>
    <row r="159" spans="1:7">
      <c r="A159" s="30">
        <v>34</v>
      </c>
      <c r="B159" s="26" t="s">
        <v>310</v>
      </c>
      <c r="C159" s="52">
        <f>SUM(C160:C162)</f>
        <v>59</v>
      </c>
    </row>
    <row r="160" spans="1:7">
      <c r="A160" s="25" t="s">
        <v>173</v>
      </c>
      <c r="B160" s="28" t="s">
        <v>72</v>
      </c>
      <c r="C160" s="25">
        <v>53</v>
      </c>
    </row>
    <row r="161" spans="1:7">
      <c r="A161" s="27" t="s">
        <v>175</v>
      </c>
      <c r="B161" s="28" t="s">
        <v>73</v>
      </c>
      <c r="C161" s="25">
        <v>0</v>
      </c>
    </row>
    <row r="162" spans="1:7">
      <c r="A162" s="27" t="s">
        <v>177</v>
      </c>
      <c r="B162" s="28" t="s">
        <v>214</v>
      </c>
      <c r="C162" s="25">
        <v>6</v>
      </c>
    </row>
    <row r="163" spans="1:7">
      <c r="A163" s="23">
        <v>35</v>
      </c>
      <c r="B163" s="26" t="s">
        <v>311</v>
      </c>
      <c r="C163" s="52">
        <f>SUM(C164:C166)</f>
        <v>123763</v>
      </c>
    </row>
    <row r="164" spans="1:7">
      <c r="A164" s="39" t="s">
        <v>312</v>
      </c>
      <c r="B164" s="41" t="s">
        <v>174</v>
      </c>
      <c r="C164" s="25">
        <v>16210</v>
      </c>
    </row>
    <row r="165" spans="1:7">
      <c r="A165" s="27" t="s">
        <v>313</v>
      </c>
      <c r="B165" s="41" t="s">
        <v>176</v>
      </c>
      <c r="C165" s="25">
        <v>107553</v>
      </c>
    </row>
    <row r="166" spans="1:7">
      <c r="A166" s="27" t="s">
        <v>314</v>
      </c>
      <c r="B166" s="41" t="s">
        <v>178</v>
      </c>
      <c r="C166" s="251" t="s">
        <v>400</v>
      </c>
    </row>
    <row r="168" spans="1:7">
      <c r="A168" s="23"/>
      <c r="B168" s="129" t="s">
        <v>87</v>
      </c>
      <c r="C168" s="127"/>
      <c r="D168" s="127"/>
      <c r="E168" s="130"/>
      <c r="F168" s="131"/>
    </row>
    <row r="169" spans="1:7">
      <c r="A169" s="23">
        <v>36</v>
      </c>
      <c r="B169" s="132" t="s">
        <v>74</v>
      </c>
      <c r="C169" s="133">
        <v>2417</v>
      </c>
      <c r="D169" s="134"/>
      <c r="E169" s="46"/>
      <c r="F169" s="46"/>
      <c r="G169" s="135"/>
    </row>
    <row r="170" spans="1:7">
      <c r="A170" s="23">
        <v>37</v>
      </c>
      <c r="B170" s="41" t="s">
        <v>75</v>
      </c>
      <c r="C170" s="136">
        <v>2262</v>
      </c>
      <c r="D170" s="134"/>
      <c r="E170" s="46"/>
      <c r="F170" s="46"/>
      <c r="G170" s="135"/>
    </row>
    <row r="171" spans="1:7">
      <c r="A171" s="23">
        <v>38</v>
      </c>
      <c r="B171" s="26" t="s">
        <v>315</v>
      </c>
      <c r="C171" s="54">
        <v>4679</v>
      </c>
      <c r="D171" s="137"/>
      <c r="E171" s="138"/>
      <c r="F171" s="138"/>
      <c r="G171" s="138"/>
    </row>
    <row r="172" spans="1:7">
      <c r="A172" s="39" t="s">
        <v>118</v>
      </c>
      <c r="B172" s="28" t="s">
        <v>208</v>
      </c>
      <c r="C172" s="133">
        <v>2200</v>
      </c>
      <c r="D172" s="134"/>
      <c r="E172" s="46"/>
      <c r="F172" s="46"/>
      <c r="G172" s="135"/>
    </row>
    <row r="173" spans="1:7">
      <c r="A173" s="39" t="s">
        <v>119</v>
      </c>
      <c r="B173" s="28" t="s">
        <v>209</v>
      </c>
      <c r="C173" s="40">
        <v>365</v>
      </c>
      <c r="D173" s="134"/>
      <c r="E173" s="46"/>
      <c r="F173" s="46"/>
      <c r="G173" s="135"/>
    </row>
    <row r="174" spans="1:7">
      <c r="A174" s="27" t="s">
        <v>120</v>
      </c>
      <c r="B174" s="28" t="s">
        <v>210</v>
      </c>
      <c r="C174" s="40">
        <v>2114</v>
      </c>
      <c r="D174" s="134"/>
      <c r="E174" s="46"/>
      <c r="F174" s="46"/>
      <c r="G174" s="135"/>
    </row>
    <row r="175" spans="1:7">
      <c r="A175" s="23">
        <v>39</v>
      </c>
      <c r="B175" s="26" t="s">
        <v>316</v>
      </c>
      <c r="C175" s="54">
        <f>SUM(C176:C178)</f>
        <v>0</v>
      </c>
      <c r="D175" s="134"/>
      <c r="E175" s="46"/>
      <c r="F175" s="46"/>
      <c r="G175" s="135"/>
    </row>
    <row r="176" spans="1:7">
      <c r="A176" s="39" t="s">
        <v>317</v>
      </c>
      <c r="B176" s="28" t="s">
        <v>76</v>
      </c>
      <c r="C176" s="40">
        <v>0</v>
      </c>
      <c r="D176" s="134"/>
      <c r="E176" s="46"/>
      <c r="F176" s="46"/>
      <c r="G176" s="135"/>
    </row>
    <row r="177" spans="1:7">
      <c r="A177" s="39" t="s">
        <v>318</v>
      </c>
      <c r="B177" s="28" t="s">
        <v>77</v>
      </c>
      <c r="C177" s="40">
        <v>0</v>
      </c>
      <c r="D177" s="134"/>
      <c r="E177" s="46"/>
      <c r="F177" s="46"/>
      <c r="G177" s="135"/>
    </row>
    <row r="178" spans="1:7">
      <c r="A178" s="27" t="s">
        <v>319</v>
      </c>
      <c r="B178" s="28" t="s">
        <v>78</v>
      </c>
      <c r="C178" s="40">
        <v>0</v>
      </c>
      <c r="D178" s="134"/>
      <c r="E178" s="46"/>
      <c r="F178" s="46"/>
      <c r="G178" s="135"/>
    </row>
    <row r="179" spans="1:7">
      <c r="A179" s="39"/>
      <c r="B179" s="28"/>
      <c r="C179" s="40"/>
      <c r="D179" s="134"/>
      <c r="E179" s="46"/>
      <c r="F179" s="46"/>
      <c r="G179" s="135"/>
    </row>
    <row r="180" spans="1:7" ht="25.5">
      <c r="A180" s="39"/>
      <c r="B180" s="139" t="s">
        <v>88</v>
      </c>
      <c r="C180" s="40"/>
      <c r="D180" s="134"/>
      <c r="E180" s="46"/>
      <c r="F180" s="46"/>
      <c r="G180" s="135"/>
    </row>
    <row r="181" spans="1:7">
      <c r="A181" s="23">
        <v>40</v>
      </c>
      <c r="B181" s="41" t="s">
        <v>74</v>
      </c>
      <c r="C181" s="40">
        <v>3002</v>
      </c>
      <c r="D181" s="134"/>
      <c r="E181" s="46"/>
      <c r="F181" s="46"/>
      <c r="G181" s="135"/>
    </row>
    <row r="182" spans="1:7">
      <c r="A182" s="23">
        <v>41</v>
      </c>
      <c r="B182" s="41" t="s">
        <v>75</v>
      </c>
      <c r="C182" s="40">
        <v>3694</v>
      </c>
      <c r="D182" s="134"/>
      <c r="E182" s="46"/>
      <c r="F182" s="46"/>
      <c r="G182" s="135"/>
    </row>
    <row r="183" spans="1:7">
      <c r="A183" s="23">
        <v>42</v>
      </c>
      <c r="B183" s="26" t="s">
        <v>320</v>
      </c>
      <c r="C183" s="54">
        <f>SUM(C184:C186)</f>
        <v>3709</v>
      </c>
      <c r="D183" s="134"/>
      <c r="E183" s="46"/>
      <c r="F183" s="46"/>
      <c r="G183" s="135"/>
    </row>
    <row r="184" spans="1:7">
      <c r="A184" s="39" t="s">
        <v>96</v>
      </c>
      <c r="B184" s="28" t="s">
        <v>211</v>
      </c>
      <c r="C184" s="136">
        <v>2985</v>
      </c>
      <c r="D184" s="134"/>
      <c r="E184" s="46"/>
      <c r="F184" s="46"/>
      <c r="G184" s="135"/>
    </row>
    <row r="185" spans="1:7">
      <c r="A185" s="39" t="s">
        <v>97</v>
      </c>
      <c r="B185" s="28" t="s">
        <v>212</v>
      </c>
      <c r="C185" s="40">
        <v>234</v>
      </c>
      <c r="D185" s="140"/>
      <c r="E185" s="141"/>
      <c r="F185" s="46"/>
      <c r="G185" s="135"/>
    </row>
    <row r="186" spans="1:7">
      <c r="A186" s="27" t="s">
        <v>98</v>
      </c>
      <c r="B186" s="28" t="s">
        <v>213</v>
      </c>
      <c r="C186" s="25">
        <v>490</v>
      </c>
      <c r="D186" s="25"/>
      <c r="E186" s="25"/>
      <c r="F186" s="46"/>
    </row>
    <row r="187" spans="1:7">
      <c r="A187" s="23">
        <v>43</v>
      </c>
      <c r="B187" s="26" t="s">
        <v>321</v>
      </c>
      <c r="C187" s="54">
        <f>SUM(C188:C190)</f>
        <v>0</v>
      </c>
      <c r="D187" s="25"/>
      <c r="E187" s="25"/>
      <c r="F187" s="46"/>
    </row>
    <row r="188" spans="1:7">
      <c r="A188" s="39" t="s">
        <v>100</v>
      </c>
      <c r="B188" s="28" t="s">
        <v>76</v>
      </c>
      <c r="C188" s="40">
        <v>0</v>
      </c>
      <c r="D188" s="25"/>
      <c r="E188" s="25"/>
      <c r="F188" s="46"/>
    </row>
    <row r="189" spans="1:7">
      <c r="A189" s="39" t="s">
        <v>101</v>
      </c>
      <c r="B189" s="28" t="s">
        <v>77</v>
      </c>
      <c r="C189" s="40">
        <v>0</v>
      </c>
      <c r="D189" s="25"/>
      <c r="E189" s="25"/>
      <c r="F189" s="46"/>
    </row>
    <row r="190" spans="1:7">
      <c r="A190" s="25" t="s">
        <v>102</v>
      </c>
      <c r="B190" s="13" t="s">
        <v>78</v>
      </c>
      <c r="C190" s="40">
        <v>0</v>
      </c>
      <c r="D190" s="25"/>
      <c r="E190" s="25"/>
      <c r="F190" s="46"/>
    </row>
    <row r="191" spans="1:7">
      <c r="D191" s="142"/>
      <c r="E191" s="143"/>
    </row>
    <row r="192" spans="1:7">
      <c r="A192" s="25"/>
      <c r="B192" s="6" t="s">
        <v>322</v>
      </c>
      <c r="C192" s="40" t="s">
        <v>90</v>
      </c>
      <c r="D192" s="1203" t="s">
        <v>81</v>
      </c>
      <c r="E192" s="1203"/>
      <c r="F192" s="131"/>
    </row>
    <row r="193" spans="1:6">
      <c r="A193" s="25"/>
      <c r="B193" s="10"/>
      <c r="C193" s="40"/>
      <c r="D193" s="43" t="s">
        <v>82</v>
      </c>
      <c r="E193" s="43" t="s">
        <v>83</v>
      </c>
      <c r="F193" s="144"/>
    </row>
    <row r="194" spans="1:6">
      <c r="A194" s="30">
        <v>44</v>
      </c>
      <c r="B194" s="6" t="s">
        <v>323</v>
      </c>
      <c r="C194" s="54">
        <f>SUM(C195:C197)</f>
        <v>122</v>
      </c>
      <c r="D194" s="52">
        <f>SUM(D195:D197)</f>
        <v>0</v>
      </c>
      <c r="E194" s="52">
        <f>SUM(E195:E197)</f>
        <v>0</v>
      </c>
      <c r="F194" s="145"/>
    </row>
    <row r="195" spans="1:6">
      <c r="A195" s="25" t="s">
        <v>121</v>
      </c>
      <c r="B195" s="13" t="s">
        <v>181</v>
      </c>
      <c r="C195" s="40">
        <v>98</v>
      </c>
      <c r="D195" s="25">
        <v>0</v>
      </c>
      <c r="E195" s="25">
        <v>0</v>
      </c>
      <c r="F195" s="46"/>
    </row>
    <row r="196" spans="1:6">
      <c r="A196" s="25" t="s">
        <v>122</v>
      </c>
      <c r="B196" s="13" t="s">
        <v>182</v>
      </c>
      <c r="C196" s="40">
        <v>1</v>
      </c>
      <c r="D196" s="25">
        <v>0</v>
      </c>
      <c r="E196" s="25">
        <v>0</v>
      </c>
      <c r="F196" s="46"/>
    </row>
    <row r="197" spans="1:6">
      <c r="A197" s="27" t="s">
        <v>123</v>
      </c>
      <c r="B197" s="13" t="s">
        <v>180</v>
      </c>
      <c r="C197" s="40">
        <v>23</v>
      </c>
      <c r="D197" s="25">
        <v>0</v>
      </c>
      <c r="E197" s="25">
        <v>0</v>
      </c>
      <c r="F197" s="46"/>
    </row>
    <row r="198" spans="1:6">
      <c r="A198" s="30">
        <v>45</v>
      </c>
      <c r="B198" s="6" t="s">
        <v>324</v>
      </c>
      <c r="C198" s="54">
        <f>SUM(C199:C201)</f>
        <v>4329</v>
      </c>
      <c r="D198" s="52">
        <f>SUM(D199:D201)</f>
        <v>0</v>
      </c>
      <c r="E198" s="52">
        <f>SUM(E199:E201)</f>
        <v>0</v>
      </c>
      <c r="F198" s="145"/>
    </row>
    <row r="199" spans="1:6">
      <c r="A199" s="25" t="s">
        <v>325</v>
      </c>
      <c r="B199" s="13" t="s">
        <v>80</v>
      </c>
      <c r="C199" s="40">
        <v>2204</v>
      </c>
      <c r="D199" s="25">
        <v>0</v>
      </c>
      <c r="E199" s="25">
        <v>0</v>
      </c>
      <c r="F199" s="46"/>
    </row>
    <row r="200" spans="1:6">
      <c r="A200" s="25" t="s">
        <v>326</v>
      </c>
      <c r="B200" s="13" t="s">
        <v>60</v>
      </c>
      <c r="C200" s="40">
        <v>5</v>
      </c>
      <c r="D200" s="25">
        <v>0</v>
      </c>
      <c r="E200" s="25">
        <v>0</v>
      </c>
      <c r="F200" s="46"/>
    </row>
    <row r="201" spans="1:6">
      <c r="A201" s="27" t="s">
        <v>327</v>
      </c>
      <c r="B201" s="13" t="s">
        <v>180</v>
      </c>
      <c r="C201" s="40">
        <v>2120</v>
      </c>
      <c r="D201" s="25" t="s">
        <v>536</v>
      </c>
      <c r="E201" s="25">
        <v>0</v>
      </c>
      <c r="F201" s="46"/>
    </row>
    <row r="202" spans="1:6">
      <c r="A202" s="44"/>
      <c r="B202" s="45"/>
      <c r="C202" s="46"/>
      <c r="D202" s="146"/>
      <c r="E202" s="147"/>
      <c r="F202" s="46"/>
    </row>
    <row r="203" spans="1:6">
      <c r="A203" s="30">
        <v>46</v>
      </c>
      <c r="B203" s="10" t="s">
        <v>203</v>
      </c>
      <c r="C203" s="40">
        <v>0</v>
      </c>
      <c r="D203" s="25">
        <v>0</v>
      </c>
      <c r="E203" s="25">
        <v>0</v>
      </c>
      <c r="F203" s="46"/>
    </row>
    <row r="204" spans="1:6">
      <c r="A204" s="30">
        <v>47</v>
      </c>
      <c r="B204" s="49" t="s">
        <v>204</v>
      </c>
      <c r="C204" s="40">
        <v>0</v>
      </c>
      <c r="D204" s="25">
        <v>0</v>
      </c>
      <c r="E204" s="25">
        <v>0</v>
      </c>
      <c r="F204" s="46"/>
    </row>
    <row r="205" spans="1:6">
      <c r="A205" s="30">
        <v>48</v>
      </c>
      <c r="B205" s="10" t="s">
        <v>179</v>
      </c>
      <c r="C205" s="40">
        <v>4</v>
      </c>
      <c r="D205" s="25">
        <v>0</v>
      </c>
      <c r="E205" s="25">
        <v>0</v>
      </c>
      <c r="F205" s="46"/>
    </row>
    <row r="206" spans="1:6">
      <c r="A206" s="30">
        <v>49</v>
      </c>
      <c r="B206" s="10" t="s">
        <v>61</v>
      </c>
      <c r="C206" s="40">
        <v>26</v>
      </c>
      <c r="D206" s="25">
        <v>0</v>
      </c>
      <c r="E206" s="25">
        <v>0</v>
      </c>
      <c r="F206" s="46"/>
    </row>
    <row r="207" spans="1:6">
      <c r="A207" s="148">
        <v>50</v>
      </c>
      <c r="B207" s="48" t="s">
        <v>202</v>
      </c>
      <c r="C207" s="47"/>
      <c r="D207" s="149"/>
      <c r="E207" s="150"/>
      <c r="F207" s="47"/>
    </row>
    <row r="208" spans="1:6">
      <c r="A208" s="47"/>
      <c r="B208" s="151"/>
      <c r="C208" s="47"/>
      <c r="D208" s="47"/>
      <c r="E208" s="47"/>
      <c r="F208" s="47"/>
    </row>
    <row r="209" spans="1:6">
      <c r="A209" s="47"/>
      <c r="B209" s="6" t="s">
        <v>364</v>
      </c>
      <c r="C209" s="47"/>
      <c r="D209" s="47"/>
      <c r="E209" s="47"/>
      <c r="F209" s="47"/>
    </row>
    <row r="210" spans="1:6">
      <c r="A210" s="4" t="s">
        <v>86</v>
      </c>
      <c r="B210" s="46" t="s">
        <v>8</v>
      </c>
      <c r="C210" s="9" t="s">
        <v>50</v>
      </c>
      <c r="D210" s="9" t="s">
        <v>51</v>
      </c>
      <c r="E210" s="9" t="s">
        <v>110</v>
      </c>
      <c r="F210" s="47"/>
    </row>
    <row r="211" spans="1:6" s="1" customFormat="1">
      <c r="A211" s="38">
        <v>51</v>
      </c>
      <c r="B211" s="6" t="s">
        <v>328</v>
      </c>
      <c r="C211" s="52">
        <v>0</v>
      </c>
      <c r="D211" s="52">
        <v>0</v>
      </c>
      <c r="E211" s="9">
        <f>SUM(E212:E227)</f>
        <v>329</v>
      </c>
      <c r="F211" s="10"/>
    </row>
    <row r="212" spans="1:6" s="1" customFormat="1">
      <c r="A212" s="27" t="s">
        <v>329</v>
      </c>
      <c r="B212" s="13" t="s">
        <v>226</v>
      </c>
      <c r="C212" s="9">
        <v>0</v>
      </c>
      <c r="D212" s="9">
        <v>0</v>
      </c>
      <c r="E212" s="9">
        <v>147</v>
      </c>
      <c r="F212" s="10"/>
    </row>
    <row r="213" spans="1:6" s="1" customFormat="1">
      <c r="A213" s="27" t="s">
        <v>330</v>
      </c>
      <c r="B213" s="35" t="s">
        <v>557</v>
      </c>
      <c r="C213" s="9">
        <v>0</v>
      </c>
      <c r="D213" s="9">
        <v>0</v>
      </c>
      <c r="E213" s="9">
        <v>87</v>
      </c>
      <c r="F213" s="10"/>
    </row>
    <row r="214" spans="1:6" s="1" customFormat="1">
      <c r="A214" s="27" t="s">
        <v>331</v>
      </c>
      <c r="B214" s="13" t="s">
        <v>227</v>
      </c>
      <c r="C214" s="9">
        <v>0</v>
      </c>
      <c r="D214" s="9">
        <v>0</v>
      </c>
      <c r="E214" s="9">
        <v>0</v>
      </c>
      <c r="F214" s="10"/>
    </row>
    <row r="215" spans="1:6" s="1" customFormat="1">
      <c r="A215" s="27" t="s">
        <v>332</v>
      </c>
      <c r="B215" s="35" t="s">
        <v>558</v>
      </c>
      <c r="C215" s="9">
        <v>0</v>
      </c>
      <c r="D215" s="9">
        <v>0</v>
      </c>
      <c r="E215" s="9">
        <v>0</v>
      </c>
      <c r="F215" s="10"/>
    </row>
    <row r="216" spans="1:6" s="1" customFormat="1">
      <c r="A216" s="27" t="s">
        <v>333</v>
      </c>
      <c r="B216" s="13" t="s">
        <v>232</v>
      </c>
      <c r="C216" s="9">
        <v>0</v>
      </c>
      <c r="D216" s="9">
        <v>0</v>
      </c>
      <c r="E216" s="9">
        <v>0</v>
      </c>
      <c r="F216" s="10"/>
    </row>
    <row r="217" spans="1:6" s="1" customFormat="1">
      <c r="A217" s="27" t="s">
        <v>334</v>
      </c>
      <c r="B217" s="35" t="s">
        <v>559</v>
      </c>
      <c r="C217" s="9">
        <v>0</v>
      </c>
      <c r="D217" s="9">
        <v>0</v>
      </c>
      <c r="E217" s="9">
        <v>0</v>
      </c>
      <c r="F217" s="10"/>
    </row>
    <row r="218" spans="1:6" s="1" customFormat="1">
      <c r="A218" s="27" t="s">
        <v>335</v>
      </c>
      <c r="B218" s="13" t="s">
        <v>233</v>
      </c>
      <c r="C218" s="9">
        <v>0</v>
      </c>
      <c r="D218" s="9">
        <v>0</v>
      </c>
      <c r="E218" s="9">
        <v>65</v>
      </c>
      <c r="F218" s="10"/>
    </row>
    <row r="219" spans="1:6" s="1" customFormat="1">
      <c r="A219" s="27" t="s">
        <v>336</v>
      </c>
      <c r="B219" s="35" t="s">
        <v>560</v>
      </c>
      <c r="C219" s="9">
        <v>0</v>
      </c>
      <c r="D219" s="9">
        <v>0</v>
      </c>
      <c r="E219" s="9">
        <v>0</v>
      </c>
      <c r="F219" s="10"/>
    </row>
    <row r="220" spans="1:6" s="1" customFormat="1">
      <c r="A220" s="27" t="s">
        <v>337</v>
      </c>
      <c r="B220" s="13" t="s">
        <v>234</v>
      </c>
      <c r="C220" s="9">
        <v>0</v>
      </c>
      <c r="D220" s="9">
        <v>0</v>
      </c>
      <c r="E220" s="9">
        <v>14</v>
      </c>
      <c r="F220" s="10"/>
    </row>
    <row r="221" spans="1:6" s="1" customFormat="1">
      <c r="A221" s="27" t="s">
        <v>338</v>
      </c>
      <c r="B221" s="35" t="s">
        <v>561</v>
      </c>
      <c r="C221" s="9">
        <v>0</v>
      </c>
      <c r="D221" s="9">
        <v>0</v>
      </c>
      <c r="E221" s="9">
        <v>12</v>
      </c>
      <c r="F221" s="10"/>
    </row>
    <row r="222" spans="1:6" s="1" customFormat="1">
      <c r="A222" s="27" t="s">
        <v>339</v>
      </c>
      <c r="B222" s="13" t="s">
        <v>235</v>
      </c>
      <c r="C222" s="9">
        <v>0</v>
      </c>
      <c r="D222" s="9">
        <v>0</v>
      </c>
      <c r="E222" s="9">
        <v>0</v>
      </c>
      <c r="F222" s="10"/>
    </row>
    <row r="223" spans="1:6" s="1" customFormat="1">
      <c r="A223" s="27" t="s">
        <v>340</v>
      </c>
      <c r="B223" s="35" t="s">
        <v>562</v>
      </c>
      <c r="C223" s="9">
        <v>0</v>
      </c>
      <c r="D223" s="9">
        <v>0</v>
      </c>
      <c r="E223" s="9">
        <v>0</v>
      </c>
      <c r="F223" s="10"/>
    </row>
    <row r="224" spans="1:6" s="1" customFormat="1">
      <c r="A224" s="27" t="s">
        <v>341</v>
      </c>
      <c r="B224" s="13" t="s">
        <v>236</v>
      </c>
      <c r="C224" s="9">
        <v>0</v>
      </c>
      <c r="D224" s="9">
        <v>0</v>
      </c>
      <c r="E224" s="9">
        <v>0</v>
      </c>
      <c r="F224" s="10"/>
    </row>
    <row r="225" spans="1:7" s="1" customFormat="1">
      <c r="A225" s="27" t="s">
        <v>342</v>
      </c>
      <c r="B225" s="35" t="s">
        <v>563</v>
      </c>
      <c r="C225" s="9">
        <v>0</v>
      </c>
      <c r="D225" s="9">
        <v>0</v>
      </c>
      <c r="E225" s="9">
        <v>0</v>
      </c>
      <c r="F225" s="10"/>
    </row>
    <row r="226" spans="1:7" s="1" customFormat="1">
      <c r="A226" s="27" t="s">
        <v>343</v>
      </c>
      <c r="B226" s="13" t="s">
        <v>237</v>
      </c>
      <c r="C226" s="9">
        <v>0</v>
      </c>
      <c r="D226" s="9">
        <v>0</v>
      </c>
      <c r="E226" s="9">
        <v>2</v>
      </c>
      <c r="F226" s="10"/>
    </row>
    <row r="227" spans="1:7" s="1" customFormat="1" ht="25.5">
      <c r="A227" s="27" t="s">
        <v>344</v>
      </c>
      <c r="B227" s="152" t="s">
        <v>564</v>
      </c>
      <c r="C227" s="9">
        <v>0</v>
      </c>
      <c r="D227" s="9">
        <v>0</v>
      </c>
      <c r="E227" s="9">
        <v>2</v>
      </c>
      <c r="F227" s="10"/>
    </row>
    <row r="228" spans="1:7">
      <c r="A228" s="47"/>
      <c r="B228" s="151"/>
      <c r="C228" s="47"/>
      <c r="D228" s="47"/>
      <c r="E228" s="47"/>
      <c r="F228" s="47"/>
    </row>
    <row r="229" spans="1:7">
      <c r="A229" s="47"/>
      <c r="B229" s="153" t="s">
        <v>345</v>
      </c>
      <c r="C229" s="35"/>
      <c r="D229" s="154"/>
      <c r="E229" s="154"/>
      <c r="F229" s="154"/>
    </row>
    <row r="230" spans="1:7" ht="25.5">
      <c r="A230" s="27" t="s">
        <v>346</v>
      </c>
      <c r="B230" s="155" t="s">
        <v>238</v>
      </c>
      <c r="C230" s="197">
        <f>118+4238</f>
        <v>4356</v>
      </c>
      <c r="D230" s="47"/>
      <c r="E230" s="47"/>
      <c r="F230" s="47"/>
    </row>
    <row r="231" spans="1:7">
      <c r="A231" s="27" t="s">
        <v>347</v>
      </c>
      <c r="B231" s="152" t="s">
        <v>115</v>
      </c>
      <c r="C231" s="156" t="s">
        <v>378</v>
      </c>
      <c r="D231" s="47"/>
      <c r="E231" s="47"/>
      <c r="F231" s="47"/>
    </row>
    <row r="232" spans="1:7" ht="25.5">
      <c r="A232" s="27" t="s">
        <v>348</v>
      </c>
      <c r="B232" s="155" t="s">
        <v>239</v>
      </c>
      <c r="C232" s="156">
        <v>23</v>
      </c>
      <c r="D232" s="47"/>
      <c r="E232" s="47"/>
      <c r="F232" s="47"/>
    </row>
    <row r="233" spans="1:7">
      <c r="A233" s="27" t="s">
        <v>349</v>
      </c>
      <c r="B233" s="152" t="s">
        <v>116</v>
      </c>
      <c r="C233" s="156" t="s">
        <v>378</v>
      </c>
      <c r="D233" s="47"/>
      <c r="E233" s="47"/>
      <c r="F233" s="47"/>
    </row>
    <row r="234" spans="1:7" ht="25.5">
      <c r="A234" s="27" t="s">
        <v>350</v>
      </c>
      <c r="B234" s="155" t="s">
        <v>240</v>
      </c>
      <c r="C234" s="156">
        <v>89</v>
      </c>
      <c r="D234" s="47"/>
      <c r="E234" s="47"/>
      <c r="F234" s="47"/>
    </row>
    <row r="235" spans="1:7">
      <c r="A235" s="27" t="s">
        <v>351</v>
      </c>
      <c r="B235" s="152" t="s">
        <v>117</v>
      </c>
      <c r="C235" s="157" t="s">
        <v>378</v>
      </c>
      <c r="D235" s="47"/>
      <c r="E235" s="47"/>
      <c r="F235" s="47"/>
    </row>
    <row r="236" spans="1:7">
      <c r="A236" s="158"/>
      <c r="B236" s="159"/>
      <c r="C236" s="47"/>
      <c r="D236" s="47"/>
      <c r="E236" s="47"/>
      <c r="F236" s="47"/>
    </row>
    <row r="237" spans="1:7" ht="15.75">
      <c r="A237" s="1199" t="s">
        <v>89</v>
      </c>
      <c r="B237" s="1204"/>
      <c r="C237" s="1204"/>
      <c r="D237" s="1204"/>
      <c r="E237" s="1204"/>
      <c r="F237" s="1204"/>
      <c r="G237" s="1205"/>
    </row>
    <row r="238" spans="1:7">
      <c r="A238" s="25" t="s">
        <v>86</v>
      </c>
      <c r="B238" s="25" t="s">
        <v>8</v>
      </c>
      <c r="C238" s="25" t="s">
        <v>0</v>
      </c>
      <c r="D238" s="25"/>
      <c r="E238" s="40"/>
      <c r="F238" s="40"/>
      <c r="G238" s="10"/>
    </row>
    <row r="239" spans="1:7">
      <c r="A239" s="30">
        <v>52</v>
      </c>
      <c r="B239" s="10" t="s">
        <v>62</v>
      </c>
      <c r="C239" s="25">
        <v>93.75</v>
      </c>
      <c r="D239" s="25"/>
      <c r="E239" s="40"/>
      <c r="F239" s="40"/>
      <c r="G239" s="10"/>
    </row>
    <row r="240" spans="1:7">
      <c r="A240" s="30">
        <v>53</v>
      </c>
      <c r="B240" s="10" t="s">
        <v>63</v>
      </c>
      <c r="C240" s="25">
        <v>20284</v>
      </c>
      <c r="D240" s="25"/>
      <c r="E240" s="40"/>
      <c r="F240" s="40"/>
      <c r="G240" s="10"/>
    </row>
    <row r="241" spans="1:7">
      <c r="A241" s="30">
        <v>54</v>
      </c>
      <c r="B241" s="10" t="s">
        <v>215</v>
      </c>
      <c r="C241" s="25">
        <v>65</v>
      </c>
      <c r="D241" s="25"/>
      <c r="E241" s="40"/>
      <c r="F241" s="40"/>
      <c r="G241" s="10"/>
    </row>
    <row r="242" spans="1:7">
      <c r="A242" s="30"/>
      <c r="B242" s="10"/>
      <c r="C242" s="25"/>
      <c r="D242" s="25"/>
      <c r="E242" s="40"/>
      <c r="F242" s="40"/>
      <c r="G242" s="10"/>
    </row>
    <row r="243" spans="1:7">
      <c r="A243" s="30"/>
      <c r="B243" s="10"/>
      <c r="C243" s="25" t="s">
        <v>140</v>
      </c>
      <c r="D243" s="25" t="s">
        <v>141</v>
      </c>
      <c r="E243" s="40" t="s">
        <v>142</v>
      </c>
      <c r="F243" s="25" t="s">
        <v>143</v>
      </c>
      <c r="G243" s="64" t="s">
        <v>352</v>
      </c>
    </row>
    <row r="244" spans="1:7">
      <c r="A244" s="30"/>
      <c r="B244" s="10"/>
      <c r="C244" s="25"/>
      <c r="D244" s="25"/>
      <c r="E244" s="40"/>
      <c r="F244" s="40"/>
      <c r="G244" s="25"/>
    </row>
    <row r="245" spans="1:7">
      <c r="A245" s="30">
        <v>55</v>
      </c>
      <c r="B245" s="6" t="s">
        <v>217</v>
      </c>
      <c r="C245" s="52">
        <v>0</v>
      </c>
      <c r="D245" s="52">
        <f>SUM(D246:D251)</f>
        <v>0</v>
      </c>
      <c r="E245" s="54">
        <f>SUM(E246:E251)</f>
        <v>0</v>
      </c>
      <c r="F245" s="54">
        <f>SUM(F246:F251)</f>
        <v>0</v>
      </c>
      <c r="G245" s="259">
        <v>2804</v>
      </c>
    </row>
    <row r="246" spans="1:7">
      <c r="A246" s="25" t="s">
        <v>353</v>
      </c>
      <c r="B246" s="13" t="s">
        <v>64</v>
      </c>
      <c r="C246" s="25"/>
      <c r="D246" s="25"/>
      <c r="E246" s="40"/>
      <c r="F246" s="40"/>
      <c r="G246" s="10">
        <v>79</v>
      </c>
    </row>
    <row r="247" spans="1:7">
      <c r="A247" s="27" t="s">
        <v>354</v>
      </c>
      <c r="B247" s="13" t="s">
        <v>65</v>
      </c>
      <c r="C247" s="25"/>
      <c r="D247" s="25"/>
      <c r="E247" s="40"/>
      <c r="F247" s="40"/>
      <c r="G247" s="260" t="s">
        <v>378</v>
      </c>
    </row>
    <row r="248" spans="1:7">
      <c r="A248" s="27" t="s">
        <v>355</v>
      </c>
      <c r="B248" s="13" t="s">
        <v>66</v>
      </c>
      <c r="C248" s="25"/>
      <c r="D248" s="25"/>
      <c r="E248" s="40"/>
      <c r="F248" s="40"/>
      <c r="G248" s="10">
        <v>134</v>
      </c>
    </row>
    <row r="249" spans="1:7">
      <c r="A249" s="27" t="s">
        <v>356</v>
      </c>
      <c r="B249" s="13" t="s">
        <v>67</v>
      </c>
      <c r="C249" s="25"/>
      <c r="D249" s="25"/>
      <c r="E249" s="40"/>
      <c r="F249" s="40"/>
      <c r="G249" s="10">
        <v>120</v>
      </c>
    </row>
    <row r="250" spans="1:7">
      <c r="A250" s="25" t="s">
        <v>357</v>
      </c>
      <c r="B250" s="13" t="s">
        <v>68</v>
      </c>
      <c r="C250" s="25"/>
      <c r="D250" s="25"/>
      <c r="E250" s="40"/>
      <c r="F250" s="40"/>
      <c r="G250" s="10">
        <v>48</v>
      </c>
    </row>
    <row r="251" spans="1:7" ht="24.75">
      <c r="A251" s="27" t="s">
        <v>358</v>
      </c>
      <c r="B251" s="155" t="s">
        <v>183</v>
      </c>
      <c r="C251" s="25"/>
      <c r="D251" s="25"/>
      <c r="E251" s="40"/>
      <c r="F251" s="40"/>
      <c r="G251" s="10">
        <v>2085</v>
      </c>
    </row>
    <row r="252" spans="1:7" ht="15">
      <c r="B252" s="161"/>
    </row>
    <row r="254" spans="1:7">
      <c r="B254" s="62" t="s">
        <v>565</v>
      </c>
    </row>
    <row r="256" spans="1:7">
      <c r="A256" s="1" t="s">
        <v>566</v>
      </c>
    </row>
    <row r="257" spans="1:12">
      <c r="A257" s="261" t="s">
        <v>567</v>
      </c>
    </row>
    <row r="258" spans="1:12">
      <c r="A258" s="72" t="s">
        <v>568</v>
      </c>
    </row>
    <row r="259" spans="1:12">
      <c r="A259" s="72" t="s">
        <v>569</v>
      </c>
    </row>
    <row r="260" spans="1:12">
      <c r="A260" s="1" t="s">
        <v>570</v>
      </c>
    </row>
    <row r="261" spans="1:12">
      <c r="A261" s="1" t="s">
        <v>571</v>
      </c>
    </row>
    <row r="262" spans="1:12">
      <c r="A262" s="229" t="s">
        <v>572</v>
      </c>
    </row>
    <row r="263" spans="1:12">
      <c r="A263" s="229" t="s">
        <v>573</v>
      </c>
    </row>
    <row r="264" spans="1:12">
      <c r="A264" s="60" t="s">
        <v>574</v>
      </c>
    </row>
    <row r="265" spans="1:12">
      <c r="A265" s="3" t="s">
        <v>575</v>
      </c>
    </row>
    <row r="266" spans="1:12">
      <c r="A266" s="10" t="s">
        <v>576</v>
      </c>
    </row>
    <row r="267" spans="1:12">
      <c r="A267" s="262" t="s">
        <v>577</v>
      </c>
      <c r="C267" s="252"/>
      <c r="D267" s="252"/>
      <c r="E267" s="252"/>
      <c r="F267" s="60"/>
    </row>
    <row r="268" spans="1:12">
      <c r="A268" s="122" t="s">
        <v>578</v>
      </c>
    </row>
    <row r="269" spans="1:12">
      <c r="A269" s="60" t="s">
        <v>579</v>
      </c>
    </row>
    <row r="270" spans="1:12">
      <c r="A270" s="263" t="s">
        <v>580</v>
      </c>
    </row>
    <row r="271" spans="1:12">
      <c r="A271" s="264" t="s">
        <v>581</v>
      </c>
      <c r="B271" s="252"/>
      <c r="C271" s="252"/>
      <c r="E271" s="252"/>
      <c r="F271" s="252"/>
      <c r="H271" s="252"/>
      <c r="J271" s="252"/>
      <c r="L271" s="252"/>
    </row>
    <row r="272" spans="1:12">
      <c r="A272" s="265" t="s">
        <v>582</v>
      </c>
      <c r="B272" s="266" t="s">
        <v>583</v>
      </c>
      <c r="C272" s="266" t="s">
        <v>584</v>
      </c>
      <c r="D272" s="266"/>
      <c r="E272" s="252"/>
      <c r="F272" s="252"/>
      <c r="H272" s="252"/>
      <c r="I272" s="266"/>
      <c r="J272" s="252"/>
      <c r="L272" s="252"/>
    </row>
    <row r="273" spans="1:12">
      <c r="A273" s="167" t="s">
        <v>585</v>
      </c>
    </row>
    <row r="274" spans="1:12" ht="15">
      <c r="A274" s="267" t="s">
        <v>586</v>
      </c>
      <c r="B274" s="252"/>
      <c r="C274" s="252"/>
      <c r="D274" s="252"/>
      <c r="E274" s="252"/>
      <c r="F274" s="252"/>
      <c r="G274" s="252"/>
      <c r="H274" s="252"/>
      <c r="I274" s="252"/>
      <c r="J274" s="252"/>
      <c r="K274" s="252"/>
      <c r="L274" s="252"/>
    </row>
    <row r="275" spans="1:12">
      <c r="A275" s="10" t="s">
        <v>587</v>
      </c>
    </row>
    <row r="276" spans="1:12">
      <c r="A276" s="60" t="s">
        <v>588</v>
      </c>
    </row>
    <row r="277" spans="1:12">
      <c r="A277" s="60" t="s">
        <v>589</v>
      </c>
    </row>
    <row r="278" spans="1:12">
      <c r="A278" s="60" t="s">
        <v>590</v>
      </c>
    </row>
    <row r="279" spans="1:12">
      <c r="A279" s="60" t="s">
        <v>591</v>
      </c>
    </row>
    <row r="280" spans="1:12">
      <c r="A280" s="60" t="s">
        <v>592</v>
      </c>
    </row>
    <row r="320" spans="1:12">
      <c r="A320" s="1"/>
      <c r="B320" s="1"/>
      <c r="C320" s="1"/>
      <c r="D320" s="1"/>
      <c r="E320" s="1"/>
      <c r="F320" s="1"/>
      <c r="G320" s="1"/>
      <c r="H320" s="1"/>
      <c r="I320" s="1"/>
      <c r="J320" s="1"/>
      <c r="K320" s="1"/>
      <c r="L320" s="1"/>
    </row>
    <row r="321" spans="1:12">
      <c r="A321" s="1"/>
      <c r="B321" s="1"/>
      <c r="C321" s="1"/>
      <c r="D321" s="1"/>
      <c r="E321" s="1"/>
      <c r="F321" s="1"/>
      <c r="G321" s="1"/>
      <c r="H321" s="1"/>
      <c r="I321" s="1"/>
      <c r="J321" s="1"/>
      <c r="K321" s="1"/>
      <c r="L321" s="1"/>
    </row>
    <row r="322" spans="1:12">
      <c r="A322" s="1"/>
      <c r="B322" s="1"/>
      <c r="C322" s="1"/>
      <c r="D322" s="1"/>
      <c r="E322" s="1"/>
      <c r="F322" s="1"/>
      <c r="G322" s="1"/>
      <c r="H322" s="1"/>
      <c r="I322" s="1"/>
      <c r="J322" s="1"/>
      <c r="K322" s="1"/>
      <c r="L322" s="1"/>
    </row>
    <row r="323" spans="1:12">
      <c r="A323" s="1"/>
      <c r="B323" s="1"/>
      <c r="C323" s="1"/>
      <c r="D323" s="1"/>
      <c r="E323" s="1"/>
      <c r="F323" s="1"/>
      <c r="G323" s="1"/>
      <c r="H323" s="1"/>
      <c r="I323" s="1"/>
      <c r="J323" s="1"/>
      <c r="K323" s="1"/>
      <c r="L323" s="1"/>
    </row>
    <row r="324" spans="1:12">
      <c r="A324" s="1"/>
      <c r="B324" s="1"/>
      <c r="C324" s="1"/>
      <c r="D324" s="1"/>
      <c r="E324" s="1"/>
      <c r="F324" s="1"/>
      <c r="G324" s="1"/>
      <c r="H324" s="1"/>
      <c r="I324" s="1"/>
      <c r="J324" s="1"/>
      <c r="K324" s="1"/>
      <c r="L324" s="1"/>
    </row>
    <row r="325" spans="1:12">
      <c r="A325" s="1"/>
      <c r="B325" s="1"/>
      <c r="C325" s="1"/>
      <c r="D325" s="1"/>
      <c r="E325" s="1"/>
      <c r="F325" s="1"/>
      <c r="G325" s="1"/>
      <c r="H325" s="1"/>
      <c r="I325" s="1"/>
      <c r="J325" s="1"/>
      <c r="K325" s="1"/>
      <c r="L325" s="1"/>
    </row>
    <row r="326" spans="1:12">
      <c r="A326" s="1"/>
      <c r="B326" s="1"/>
      <c r="C326" s="1"/>
      <c r="D326" s="1"/>
      <c r="E326" s="1"/>
      <c r="F326" s="1"/>
      <c r="G326" s="1"/>
      <c r="H326" s="1"/>
      <c r="I326" s="1"/>
      <c r="J326" s="1"/>
      <c r="K326" s="1"/>
      <c r="L326" s="1"/>
    </row>
    <row r="327" spans="1:12">
      <c r="A327" s="1"/>
      <c r="B327" s="1"/>
      <c r="C327" s="1"/>
      <c r="D327" s="1"/>
      <c r="E327" s="1"/>
      <c r="F327" s="1"/>
      <c r="G327" s="1"/>
      <c r="H327" s="1"/>
      <c r="I327" s="1"/>
      <c r="J327" s="1"/>
      <c r="K327" s="1"/>
      <c r="L327" s="1"/>
    </row>
    <row r="328" spans="1:12">
      <c r="A328" s="1"/>
      <c r="B328" s="1"/>
      <c r="C328" s="1"/>
      <c r="D328" s="1"/>
      <c r="E328" s="1"/>
      <c r="F328" s="1"/>
      <c r="G328" s="1"/>
      <c r="H328" s="1"/>
      <c r="I328" s="1"/>
      <c r="J328" s="1"/>
      <c r="K328" s="1"/>
      <c r="L328" s="1"/>
    </row>
    <row r="329" spans="1:12">
      <c r="A329" s="1"/>
      <c r="B329" s="1"/>
      <c r="C329" s="1"/>
      <c r="D329" s="1"/>
      <c r="E329" s="1"/>
      <c r="F329" s="1"/>
      <c r="G329" s="1"/>
      <c r="H329" s="1"/>
      <c r="I329" s="1"/>
      <c r="J329" s="1"/>
      <c r="K329" s="1"/>
      <c r="L329" s="1"/>
    </row>
    <row r="330" spans="1:12">
      <c r="A330" s="1"/>
      <c r="B330" s="1"/>
      <c r="C330" s="1"/>
      <c r="D330" s="1"/>
      <c r="E330" s="1"/>
      <c r="F330" s="1"/>
      <c r="G330" s="1"/>
      <c r="H330" s="1"/>
      <c r="I330" s="1"/>
      <c r="J330" s="1"/>
      <c r="K330" s="1"/>
      <c r="L330" s="1"/>
    </row>
    <row r="331" spans="1:12">
      <c r="A331" s="1"/>
      <c r="B331" s="1"/>
      <c r="C331" s="1"/>
      <c r="D331" s="1"/>
      <c r="E331" s="1"/>
      <c r="F331" s="1"/>
      <c r="G331" s="1"/>
      <c r="H331" s="1"/>
      <c r="I331" s="1"/>
      <c r="J331" s="1"/>
      <c r="K331" s="1"/>
      <c r="L331" s="1"/>
    </row>
    <row r="332" spans="1:12">
      <c r="A332" s="1"/>
      <c r="B332" s="1"/>
      <c r="C332" s="1"/>
      <c r="D332" s="1"/>
      <c r="E332" s="1"/>
      <c r="F332" s="1"/>
      <c r="G332" s="1"/>
      <c r="H332" s="1"/>
      <c r="I332" s="1"/>
      <c r="J332" s="1"/>
      <c r="K332" s="1"/>
      <c r="L332" s="1"/>
    </row>
    <row r="333" spans="1:12">
      <c r="A333" s="1"/>
      <c r="B333" s="1"/>
      <c r="C333" s="1"/>
      <c r="D333" s="1"/>
      <c r="E333" s="1"/>
      <c r="F333" s="1"/>
      <c r="G333" s="1"/>
      <c r="H333" s="1"/>
      <c r="I333" s="1"/>
      <c r="J333" s="1"/>
      <c r="K333" s="1"/>
      <c r="L333" s="1"/>
    </row>
    <row r="334" spans="1:12">
      <c r="A334" s="1"/>
      <c r="B334" s="1"/>
      <c r="C334" s="1"/>
      <c r="D334" s="1"/>
      <c r="E334" s="1"/>
      <c r="F334" s="1"/>
      <c r="G334" s="1"/>
      <c r="H334" s="1"/>
      <c r="I334" s="1"/>
      <c r="J334" s="1"/>
      <c r="K334" s="1"/>
      <c r="L334" s="1"/>
    </row>
    <row r="335" spans="1:12">
      <c r="A335" s="1"/>
      <c r="B335" s="1"/>
      <c r="C335" s="1"/>
      <c r="D335" s="1"/>
      <c r="E335" s="1"/>
      <c r="F335" s="1"/>
      <c r="G335" s="1"/>
      <c r="H335" s="1"/>
      <c r="I335" s="1"/>
      <c r="J335" s="1"/>
      <c r="K335" s="1"/>
      <c r="L335" s="1"/>
    </row>
    <row r="336" spans="1:12">
      <c r="A336" s="1"/>
      <c r="B336" s="1"/>
      <c r="C336" s="1"/>
      <c r="D336" s="1"/>
      <c r="E336" s="1"/>
      <c r="F336" s="1"/>
      <c r="G336" s="1"/>
      <c r="H336" s="1"/>
      <c r="I336" s="1"/>
      <c r="J336" s="1"/>
      <c r="K336" s="1"/>
      <c r="L336" s="1"/>
    </row>
    <row r="346" spans="1:1" ht="15">
      <c r="A346" s="120"/>
    </row>
    <row r="347" spans="1:1">
      <c r="A347" s="3"/>
    </row>
    <row r="348" spans="1:1">
      <c r="A348" s="3"/>
    </row>
    <row r="349" spans="1:1">
      <c r="A349" s="3"/>
    </row>
    <row r="350" spans="1:1">
      <c r="A350" s="3"/>
    </row>
    <row r="351" spans="1:1">
      <c r="A351" s="3"/>
    </row>
    <row r="352" spans="1:1">
      <c r="A352" s="160"/>
    </row>
    <row r="353" spans="1:3">
      <c r="A353" s="160"/>
    </row>
    <row r="354" spans="1:3">
      <c r="A354" s="145"/>
    </row>
    <row r="355" spans="1:3">
      <c r="A355" s="3"/>
      <c r="C355" s="25"/>
    </row>
    <row r="356" spans="1:3">
      <c r="A356" s="3"/>
    </row>
    <row r="357" spans="1:3">
      <c r="A357" s="3"/>
    </row>
    <row r="358" spans="1:3">
      <c r="A358" s="3"/>
    </row>
    <row r="359" spans="1:3">
      <c r="A359" s="3"/>
    </row>
    <row r="360" spans="1:3">
      <c r="A360" s="3"/>
    </row>
  </sheetData>
  <mergeCells count="82">
    <mergeCell ref="A24:G24"/>
    <mergeCell ref="A5:A6"/>
    <mergeCell ref="A7:A8"/>
    <mergeCell ref="A13:A14"/>
    <mergeCell ref="A16:G16"/>
    <mergeCell ref="D17:E17"/>
    <mergeCell ref="D18:E18"/>
    <mergeCell ref="D19:E19"/>
    <mergeCell ref="D20:E20"/>
    <mergeCell ref="D21:E21"/>
    <mergeCell ref="D22:E22"/>
    <mergeCell ref="A23:G23"/>
    <mergeCell ref="D37:E37"/>
    <mergeCell ref="D25:E25"/>
    <mergeCell ref="D26:E26"/>
    <mergeCell ref="D27:E27"/>
    <mergeCell ref="D28:E28"/>
    <mergeCell ref="D29:E29"/>
    <mergeCell ref="D31:E31"/>
    <mergeCell ref="D32:E32"/>
    <mergeCell ref="D33:E33"/>
    <mergeCell ref="D34:E34"/>
    <mergeCell ref="D35:E35"/>
    <mergeCell ref="D36:E36"/>
    <mergeCell ref="D50:E50"/>
    <mergeCell ref="D38:E38"/>
    <mergeCell ref="D39:E39"/>
    <mergeCell ref="A40:G40"/>
    <mergeCell ref="A41:G41"/>
    <mergeCell ref="D42:E42"/>
    <mergeCell ref="C43:E43"/>
    <mergeCell ref="D44:E44"/>
    <mergeCell ref="D45:E45"/>
    <mergeCell ref="D46:E46"/>
    <mergeCell ref="D48:E48"/>
    <mergeCell ref="D49:E49"/>
    <mergeCell ref="D63:E63"/>
    <mergeCell ref="D51:E51"/>
    <mergeCell ref="D52:E52"/>
    <mergeCell ref="D54:E54"/>
    <mergeCell ref="D55:E55"/>
    <mergeCell ref="D56:E56"/>
    <mergeCell ref="D57:E57"/>
    <mergeCell ref="D58:E58"/>
    <mergeCell ref="D59:E59"/>
    <mergeCell ref="D60:E60"/>
    <mergeCell ref="D61:E61"/>
    <mergeCell ref="D62:E62"/>
    <mergeCell ref="D78:E78"/>
    <mergeCell ref="D64:E64"/>
    <mergeCell ref="D65:E65"/>
    <mergeCell ref="D66:E66"/>
    <mergeCell ref="D67:E67"/>
    <mergeCell ref="D68:E68"/>
    <mergeCell ref="D69:E69"/>
    <mergeCell ref="D70:E70"/>
    <mergeCell ref="D71:E71"/>
    <mergeCell ref="D73:E73"/>
    <mergeCell ref="D74:E74"/>
    <mergeCell ref="D75:E75"/>
    <mergeCell ref="D97:E97"/>
    <mergeCell ref="D86:E86"/>
    <mergeCell ref="D87:E87"/>
    <mergeCell ref="D88:E88"/>
    <mergeCell ref="D89:E89"/>
    <mergeCell ref="D90:E90"/>
    <mergeCell ref="D91:E91"/>
    <mergeCell ref="D92:E92"/>
    <mergeCell ref="D93:E93"/>
    <mergeCell ref="D94:E94"/>
    <mergeCell ref="D95:E95"/>
    <mergeCell ref="D96:E96"/>
    <mergeCell ref="A145:G145"/>
    <mergeCell ref="B154:C154"/>
    <mergeCell ref="D192:E192"/>
    <mergeCell ref="A237:G237"/>
    <mergeCell ref="A99:G99"/>
    <mergeCell ref="A101:A102"/>
    <mergeCell ref="B101:B102"/>
    <mergeCell ref="C101:E102"/>
    <mergeCell ref="G101:G102"/>
    <mergeCell ref="A144:G144"/>
  </mergeCells>
  <hyperlinks>
    <hyperlink ref="B9" r:id="rId1"/>
    <hyperlink ref="B272" r:id="rId2"/>
    <hyperlink ref="C272" r:id="rId3"/>
  </hyperlinks>
  <pageMargins left="0.7" right="0.7" top="0.75" bottom="0.75" header="0.3" footer="0.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0355ef0-b855-4ebb-a92a-a6c79f7573fd">72WVDYXX2UNK-1135803193-19</_dlc_DocId>
    <_dlc_DocIdUrl xmlns="30355ef0-b855-4ebb-a92a-a6c79f7573fd">
      <Url>https://update.calstate.edu/csu-system/administration/sdlc/_layouts/15/DocIdRedir.aspx?ID=72WVDYXX2UNK-1135803193-19</Url>
      <Description>72WVDYXX2UNK-1135803193-19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859D133B22754A9C7DDA4A66616881" ma:contentTypeVersion="3" ma:contentTypeDescription="Create a new document." ma:contentTypeScope="" ma:versionID="786ff93e12d0f6b0875a32e0d2a3ed22">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A55803-5780-42FE-BAA6-A9FC3F529095}"/>
</file>

<file path=customXml/itemProps2.xml><?xml version="1.0" encoding="utf-8"?>
<ds:datastoreItem xmlns:ds="http://schemas.openxmlformats.org/officeDocument/2006/customXml" ds:itemID="{21A70410-E921-485A-8982-2A0B02D1BDC9}"/>
</file>

<file path=customXml/itemProps3.xml><?xml version="1.0" encoding="utf-8"?>
<ds:datastoreItem xmlns:ds="http://schemas.openxmlformats.org/officeDocument/2006/customXml" ds:itemID="{6CCD460F-EFC5-4E1B-AB9A-B20C64D691D4}"/>
</file>

<file path=customXml/itemProps4.xml><?xml version="1.0" encoding="utf-8"?>
<ds:datastoreItem xmlns:ds="http://schemas.openxmlformats.org/officeDocument/2006/customXml" ds:itemID="{C7DF2403-454E-4202-98B8-4886E38E59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09-10 Compiled Stats</vt:lpstr>
      <vt:lpstr>Bakersfield</vt:lpstr>
      <vt:lpstr>Channel_Islands</vt:lpstr>
      <vt:lpstr>Chico</vt:lpstr>
      <vt:lpstr>Dominguez_Hills</vt:lpstr>
      <vt:lpstr>East_Bay</vt:lpstr>
      <vt:lpstr>Fresno</vt:lpstr>
      <vt:lpstr>Fullerton</vt:lpstr>
      <vt:lpstr>Humboldt</vt:lpstr>
      <vt:lpstr>Long_Beach</vt:lpstr>
      <vt:lpstr>Los_Angeles</vt:lpstr>
      <vt:lpstr>Maritime_Academy</vt:lpstr>
      <vt:lpstr>Monterey_Bay</vt:lpstr>
      <vt:lpstr>Northridge</vt:lpstr>
      <vt:lpstr>Pomona</vt:lpstr>
      <vt:lpstr>Sacramento</vt:lpstr>
      <vt:lpstr>San_Bernardino</vt:lpstr>
      <vt:lpstr>San_Diego</vt:lpstr>
      <vt:lpstr>San_Francisco</vt:lpstr>
      <vt:lpstr>San_Jose</vt:lpstr>
      <vt:lpstr>San_Luis_Obispo</vt:lpstr>
      <vt:lpstr>San_Marcos</vt:lpstr>
      <vt:lpstr>Sonoma</vt:lpstr>
      <vt:lpstr>Stanislaus</vt:lpstr>
      <vt:lpstr>'09-10 Compiled Stats'!Print_Area</vt:lpstr>
      <vt:lpstr>San_Francisco!Print_Area</vt:lpstr>
      <vt:lpstr>'09-10 Compiled Stats'!Print_Titles</vt:lpstr>
    </vt:vector>
  </TitlesOfParts>
  <Company>MLK Library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Systemwide Digital Library Services</dc:title>
  <dc:subject>Library Stats 2009-2010</dc:subject>
  <dc:creator>Marvin Pollard</dc:creator>
  <cp:lastModifiedBy>Marvin E Pollard Jr.</cp:lastModifiedBy>
  <cp:lastPrinted>2011-08-08T23:59:44Z</cp:lastPrinted>
  <dcterms:created xsi:type="dcterms:W3CDTF">2009-07-08T23:44:56Z</dcterms:created>
  <dcterms:modified xsi:type="dcterms:W3CDTF">2011-08-09T00:02:44Z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0x0101006E859D133B22754A9C7DDA4A66616881</vt:lpwstr>
  </property>
  <property fmtid="{D5CDD505-2E9C-101B-9397-08002B2CF9AE}" pid="3" name="_dlc_DocIdItemGuid">
    <vt:lpwstr>eb42b496-806d-4f1f-ae5f-98a530163bab</vt:lpwstr>
  </property>
</Properties>
</file>