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21570" windowHeight="9855" tabRatio="569" activeTab="0"/>
  </bookViews>
  <sheets>
    <sheet name="(A) Budget Summary" sheetId="1" r:id="rId1"/>
    <sheet name="(B) Base Bud Adj" sheetId="2" r:id="rId2"/>
    <sheet name="(C) 14-15 CSU GF Adjustments" sheetId="3" r:id="rId3"/>
    <sheet name="(D) Tuition Fee Revenue" sheetId="4" r:id="rId4"/>
    <sheet name="(E) Tuit Fee Discounts" sheetId="5" r:id="rId5"/>
  </sheets>
  <definedNames>
    <definedName name="cy0506_updated" localSheetId="4">#REF!</definedName>
    <definedName name="cy0506_updated">#REF!</definedName>
    <definedName name="Limited" localSheetId="4">#REF!</definedName>
    <definedName name="Limited">#REF!</definedName>
    <definedName name="Limited_Nonresident_Data" localSheetId="4">#REF!</definedName>
    <definedName name="Limited_Nonresident_Data">#REF!</definedName>
    <definedName name="Limited_Resident_Data">#REF!</definedName>
    <definedName name="_xlnm.Print_Area" localSheetId="0">'(A) Budget Summary'!$A$1:$W$44</definedName>
    <definedName name="_xlnm.Print_Area" localSheetId="1">'(B) Base Bud Adj'!$A$1:$AY$49</definedName>
    <definedName name="_xlnm.Print_Area" localSheetId="2">'(C) 14-15 CSU GF Adjustments'!$A$1:$R$45</definedName>
    <definedName name="_xlnm.Print_Area" localSheetId="3">'(D) Tuition Fee Revenue'!$A$1:$T$45</definedName>
    <definedName name="_xlnm.Print_Area" localSheetId="4">'(E) Tuit Fee Discounts'!$A$1:$O$34</definedName>
    <definedName name="_xlnm.Print_Titles" localSheetId="3">'(D) Tuition Fee Revenue'!$A:$A,'(D) Tuition Fee Revenue'!$1:$4</definedName>
    <definedName name="Regular" localSheetId="4">#REF!</definedName>
    <definedName name="Regular">#REF!</definedName>
    <definedName name="Regular_Nonresident_Data" localSheetId="4">#REF!</definedName>
    <definedName name="Regular_Nonresident_Data">#REF!</definedName>
    <definedName name="Regular_Resident_Data" localSheetId="4">#REF!</definedName>
    <definedName name="Regular_Resident_Data">#REF!</definedName>
    <definedName name="ResType2">#REF!</definedName>
    <definedName name="Revised_FTES">#REF!</definedName>
    <definedName name="Table_28_AY_Lim_NonRes">#REF!</definedName>
    <definedName name="Table_28_AY_Lim_Resident">#REF!</definedName>
    <definedName name="Table_28_AY_Reg_NonRes">#REF!</definedName>
    <definedName name="Table_28_AY_Reg_Resident">#REF!</definedName>
    <definedName name="Table_28_Lim_AY">#REF!</definedName>
    <definedName name="Table_28_Reg_AY">#REF!</definedName>
    <definedName name="Table_32_Limited_Non_Resident">#REF!</definedName>
    <definedName name="Table_32_Limited_Resident">#REF!</definedName>
    <definedName name="Table_32_Regular_Non_resident">#REF!</definedName>
    <definedName name="Table_32_Regular_Resident">#REF!</definedName>
    <definedName name="Table_32_Sum_Only_Limited">#REF!</definedName>
    <definedName name="Table_32_Sum_Only_Regular">#REF!</definedName>
    <definedName name="Table_7_All">#REF!</definedName>
    <definedName name="Table_7_Non_Resident_Only">#REF!</definedName>
    <definedName name="Table_7_Resident_Only">#REF!</definedName>
  </definedNames>
  <calcPr fullCalcOnLoad="1"/>
</workbook>
</file>

<file path=xl/sharedStrings.xml><?xml version="1.0" encoding="utf-8"?>
<sst xmlns="http://schemas.openxmlformats.org/spreadsheetml/2006/main" count="287" uniqueCount="178">
  <si>
    <t>Bakersfield</t>
  </si>
  <si>
    <t>Channel Islands</t>
  </si>
  <si>
    <t>Chico</t>
  </si>
  <si>
    <t>Dominguez Hills</t>
  </si>
  <si>
    <t>Fresno</t>
  </si>
  <si>
    <t>Fullerton</t>
  </si>
  <si>
    <t>Humboldt</t>
  </si>
  <si>
    <t>Long Beach</t>
  </si>
  <si>
    <t>Los Angeles</t>
  </si>
  <si>
    <t>Maritime Academy</t>
  </si>
  <si>
    <t>Monterey Bay</t>
  </si>
  <si>
    <t>Northridge</t>
  </si>
  <si>
    <t>Pomona</t>
  </si>
  <si>
    <t>Sacramento</t>
  </si>
  <si>
    <t>San Bernardino</t>
  </si>
  <si>
    <t>San Diego</t>
  </si>
  <si>
    <t>San Francisco</t>
  </si>
  <si>
    <t>San Jose</t>
  </si>
  <si>
    <t>San Luis Obispo</t>
  </si>
  <si>
    <t>San Marcos</t>
  </si>
  <si>
    <t>Sonoma</t>
  </si>
  <si>
    <t>Stanislaus</t>
  </si>
  <si>
    <t>Campus Total</t>
  </si>
  <si>
    <t>Chancellor's Office</t>
  </si>
  <si>
    <t>International Programs</t>
  </si>
  <si>
    <t>Summer Arts</t>
  </si>
  <si>
    <t>Systemwide Provisions</t>
  </si>
  <si>
    <t>CSU System Total</t>
  </si>
  <si>
    <t>East Bay</t>
  </si>
  <si>
    <t>CalStateTeach</t>
  </si>
  <si>
    <t>Campus</t>
  </si>
  <si>
    <t>Unadjusted Other Fee Revenue and Reim.</t>
  </si>
  <si>
    <t>Grand Total</t>
  </si>
  <si>
    <t>$</t>
  </si>
  <si>
    <t>%</t>
  </si>
  <si>
    <t xml:space="preserve">Bakersfield       </t>
  </si>
  <si>
    <t xml:space="preserve">Chico             </t>
  </si>
  <si>
    <t xml:space="preserve">Dominguez Hills   </t>
  </si>
  <si>
    <t xml:space="preserve">Fresno            </t>
  </si>
  <si>
    <t xml:space="preserve">Fullerton         </t>
  </si>
  <si>
    <t xml:space="preserve">Humboldt          </t>
  </si>
  <si>
    <t xml:space="preserve">Long Beach        </t>
  </si>
  <si>
    <t xml:space="preserve">Los Angeles       </t>
  </si>
  <si>
    <t xml:space="preserve">Northridge        </t>
  </si>
  <si>
    <t xml:space="preserve">Pomona            </t>
  </si>
  <si>
    <t xml:space="preserve">Sacramento        </t>
  </si>
  <si>
    <t xml:space="preserve">San Bernardino    </t>
  </si>
  <si>
    <t xml:space="preserve">San Diego         </t>
  </si>
  <si>
    <t xml:space="preserve">San Francisco     </t>
  </si>
  <si>
    <t xml:space="preserve">San Jose          </t>
  </si>
  <si>
    <t xml:space="preserve">San Luis Obispo   </t>
  </si>
  <si>
    <t xml:space="preserve">San Marcos        </t>
  </si>
  <si>
    <t xml:space="preserve">Sonoma            </t>
  </si>
  <si>
    <t xml:space="preserve">Stanislaus        </t>
  </si>
  <si>
    <t>(Cols. 2 - 1)</t>
  </si>
  <si>
    <t>General Fund</t>
  </si>
  <si>
    <t>(6)</t>
  </si>
  <si>
    <t>(7)</t>
  </si>
  <si>
    <t>(8)</t>
  </si>
  <si>
    <t>(11)</t>
  </si>
  <si>
    <r>
      <t xml:space="preserve">General Fund Allocation </t>
    </r>
  </si>
  <si>
    <t>Resident</t>
  </si>
  <si>
    <t>Nonresident</t>
  </si>
  <si>
    <t>Tuition Fees</t>
  </si>
  <si>
    <t>(Sum of Cols. 1-3)</t>
  </si>
  <si>
    <t>Campus Reported Gross                              Final Budget</t>
  </si>
  <si>
    <t>(=Col. 3)</t>
  </si>
  <si>
    <t>(9)</t>
  </si>
  <si>
    <t>Enrollment</t>
  </si>
  <si>
    <t>Total</t>
  </si>
  <si>
    <t>Resident Only</t>
  </si>
  <si>
    <t>(10)</t>
  </si>
  <si>
    <t>(Cols. 1 + 2)</t>
  </si>
  <si>
    <r>
      <t xml:space="preserve">Tuition Fee Revenue </t>
    </r>
    <r>
      <rPr>
        <sz val="10"/>
        <color indexed="8"/>
        <rFont val="Times New Roman"/>
        <family val="1"/>
      </rPr>
      <t>(</t>
    </r>
    <r>
      <rPr>
        <u val="single"/>
        <sz val="10"/>
        <color indexed="8"/>
        <rFont val="Times New Roman"/>
        <family val="1"/>
      </rPr>
      <t>before</t>
    </r>
    <r>
      <rPr>
        <sz val="10"/>
        <color indexed="8"/>
        <rFont val="Times New Roman"/>
        <family val="1"/>
      </rPr>
      <t xml:space="preserve"> tuition fee discounts)</t>
    </r>
  </si>
  <si>
    <t>(Cols. 1 + 5 + 6)</t>
  </si>
  <si>
    <t>(Cols. 2 + 7)</t>
  </si>
  <si>
    <t>(Sum Cols. 8 - 10)</t>
  </si>
  <si>
    <t>2014/15 Budget Adjustments</t>
  </si>
  <si>
    <t>2014/15 (Gross) Tuition Fee Revenue Adjustments</t>
  </si>
  <si>
    <t>2014/15 NET Tuition Fee Revenue Adjustments</t>
  </si>
  <si>
    <t>2014/15 Gross Tuition Fee Revenue Increase From 2014/15 Enrollment Growth</t>
  </si>
  <si>
    <t>2014/15 Enrollment Growth, Tuition Fee Discount Adjustments</t>
  </si>
  <si>
    <t>2014/15 NET Tuition Fee Revenue Increase From 2014/15 Enrollment Growth</t>
  </si>
  <si>
    <t xml:space="preserve">2014/15 Total NET Tuition Fee Revenue Adjustments </t>
  </si>
  <si>
    <t>Tuition Fee Discounts AY Eligibility Further Adjusted to Reflect Funded Enrollment Targets from 2012/13 to 2014/15</t>
  </si>
  <si>
    <t>Coded Memo B 2013-02 Final Budget Allocations</t>
  </si>
  <si>
    <t>2014/15 Tuition Fee Discount Adjustments</t>
  </si>
  <si>
    <t>2013/14 FIRMS Final Budget Detail</t>
  </si>
  <si>
    <t>Coded Memo B_2013-02 General Fund Allocation</t>
  </si>
  <si>
    <t>2013/14 Coded Memo B_2013-02 General Fund Allocation</t>
  </si>
  <si>
    <t>Revised 2013/14 General Fund Base</t>
  </si>
  <si>
    <t>2013/14 Est. Retirement Adjustment</t>
  </si>
  <si>
    <t>2013/14 FTES Target</t>
  </si>
  <si>
    <t>2014/15 Budget FTES Target</t>
  </si>
  <si>
    <t>2014/15 Budget FTES Growth</t>
  </si>
  <si>
    <t>(12)</t>
  </si>
  <si>
    <t>(13)</t>
  </si>
  <si>
    <t>(Cols. 7 + 8)</t>
  </si>
  <si>
    <t>(Cols. 10 + 11)</t>
  </si>
  <si>
    <t>(Cols. 6 + 9 + 12)</t>
  </si>
  <si>
    <t>Other Adjustments</t>
  </si>
  <si>
    <t>2013/14 Enrollment Adjustments Tuition Fee Revenue</t>
  </si>
  <si>
    <t>(Attach. D, Cols. 6 + 9 + 10)</t>
  </si>
  <si>
    <t>(Col. 9 - Attach. E, Col. 2)</t>
  </si>
  <si>
    <t>Gross 2014/15 CSU Budget Allocation Totals</t>
  </si>
  <si>
    <t>(Cols. 8 + 10 +12)</t>
  </si>
  <si>
    <t>(Attach D, Col. 11 + Attach. E, Col. 3)</t>
  </si>
  <si>
    <r>
      <t>Campus Reported Tuition Fee Revenue</t>
    </r>
    <r>
      <rPr>
        <sz val="10"/>
        <color indexed="8"/>
        <rFont val="Times New Roman"/>
        <family val="1"/>
      </rPr>
      <t xml:space="preserve"> </t>
    </r>
    <r>
      <rPr>
        <sz val="9"/>
        <color indexed="8"/>
        <rFont val="Times New Roman"/>
        <family val="1"/>
      </rPr>
      <t>(</t>
    </r>
    <r>
      <rPr>
        <u val="single"/>
        <sz val="9"/>
        <color indexed="8"/>
        <rFont val="Times New Roman"/>
        <family val="1"/>
      </rPr>
      <t>before</t>
    </r>
    <r>
      <rPr>
        <sz val="9"/>
        <color indexed="8"/>
        <rFont val="Times New Roman"/>
        <family val="1"/>
      </rPr>
      <t xml:space="preserve"> tuition fee discounts)</t>
    </r>
  </si>
  <si>
    <t>NET 2014/15 CSU Budget Allocation Totals (After Tuition Fee Discounts) - For Information Only</t>
  </si>
  <si>
    <t>2013/14 FTES Target Adjust-ments</t>
  </si>
  <si>
    <t>Health Benefits</t>
  </si>
  <si>
    <t>Tuition Fee Discounts Academic Year (AY) Eligibility Based on 2012/13 Final Database With 2014/15 Tuition Fee Levels</t>
  </si>
  <si>
    <t>2014/15 Final Budget Allocations Tuition Fee Discount Adjustments</t>
  </si>
  <si>
    <t>2013/14 1.34% ($38M) Compensation Increase Pool</t>
  </si>
  <si>
    <t>2013/14 Base Enrollment Adjustments</t>
  </si>
  <si>
    <t>Other Expenditure Adjustments</t>
  </si>
  <si>
    <t>(Cols. 2 + Sum of Cols. 4-11)</t>
  </si>
  <si>
    <t>(Cols. 1 + 12)</t>
  </si>
  <si>
    <t/>
  </si>
  <si>
    <t>Other 2013/14 Full-Year Compensation Cost Adjustments</t>
  </si>
  <si>
    <r>
      <t xml:space="preserve">Tuition Fee Discounts, GF Adjustments based on Campus Relative Student Need </t>
    </r>
    <r>
      <rPr>
        <vertAlign val="superscript"/>
        <sz val="11"/>
        <color indexed="8"/>
        <rFont val="Times New Roman"/>
        <family val="1"/>
      </rPr>
      <t>6</t>
    </r>
  </si>
  <si>
    <t>Budget Targets</t>
  </si>
  <si>
    <t>(Attach. C, Col. 7)</t>
  </si>
  <si>
    <r>
      <t xml:space="preserve">2014/15 Non-resident FTES </t>
    </r>
    <r>
      <rPr>
        <vertAlign val="superscript"/>
        <sz val="11"/>
        <rFont val="Times New Roman"/>
        <family val="1"/>
      </rPr>
      <t>1</t>
    </r>
  </si>
  <si>
    <t>GO Bond Debt Service and LRB</t>
  </si>
  <si>
    <t>Other Fee Revenue</t>
  </si>
  <si>
    <r>
      <t>2014/15 Final Budget Allocations Total Tuition Fee Discounts (Foregone Revenue) and GF Grants</t>
    </r>
    <r>
      <rPr>
        <vertAlign val="superscript"/>
        <sz val="10"/>
        <color indexed="8"/>
        <rFont val="Times New Roman"/>
        <family val="1"/>
      </rPr>
      <t>1</t>
    </r>
    <r>
      <rPr>
        <sz val="10"/>
        <color indexed="8"/>
        <rFont val="Times New Roman"/>
        <family val="1"/>
      </rPr>
      <t xml:space="preserve"> / 100% Distributed Based on Need</t>
    </r>
  </si>
  <si>
    <r>
      <rPr>
        <vertAlign val="superscript"/>
        <sz val="11"/>
        <rFont val="Times New Roman"/>
        <family val="1"/>
      </rPr>
      <t>1</t>
    </r>
    <r>
      <rPr>
        <sz val="11"/>
        <rFont val="Times New Roman"/>
        <family val="1"/>
      </rPr>
      <t xml:space="preserve"> Includes $33.8 million grants funded by General Fund appropriation.</t>
    </r>
  </si>
  <si>
    <r>
      <rPr>
        <vertAlign val="superscript"/>
        <sz val="10"/>
        <color indexed="8"/>
        <rFont val="Times New Roman"/>
        <family val="1"/>
      </rPr>
      <t>4</t>
    </r>
    <r>
      <rPr>
        <sz val="10"/>
        <color indexed="8"/>
        <rFont val="Times New Roman"/>
        <family val="1"/>
      </rPr>
      <t>2014/15 Final Budget folds $197.2M CSU GO bond debt service from statewide expenditures into the CSU main GF appropriation and $8.5M increase in lease revenue bond debt service.</t>
    </r>
  </si>
  <si>
    <r>
      <rPr>
        <vertAlign val="superscript"/>
        <sz val="10"/>
        <color indexed="8"/>
        <rFont val="Times New Roman"/>
        <family val="1"/>
      </rPr>
      <t>5</t>
    </r>
    <r>
      <rPr>
        <sz val="10"/>
        <color indexed="8"/>
        <rFont val="Times New Roman"/>
        <family val="1"/>
      </rPr>
      <t xml:space="preserve">The CSU 2014/15 fee revenue interest assessment ($1.804M) from the state represents a $1.179M reduction (return to CSU) from the 2013/14 interest amount assessed ($2.983M). </t>
    </r>
  </si>
  <si>
    <r>
      <rPr>
        <vertAlign val="superscript"/>
        <sz val="10"/>
        <color indexed="8"/>
        <rFont val="Times New Roman"/>
        <family val="1"/>
      </rPr>
      <t>1</t>
    </r>
    <r>
      <rPr>
        <sz val="10"/>
        <color indexed="8"/>
        <rFont val="Times New Roman"/>
        <family val="1"/>
      </rPr>
      <t>The nonresident FTES is equal to the 2012/13 actual FTES.</t>
    </r>
  </si>
  <si>
    <t>Gross Tuition Fee Revenue Adjustments</t>
  </si>
  <si>
    <t>Gross Budget Allocation</t>
  </si>
  <si>
    <t>General Fund Base Adjustments</t>
  </si>
  <si>
    <t>(Sum Cols. 1-3)</t>
  </si>
  <si>
    <t>(Col. 3 * -$1,318 MC Fin. Aid)</t>
  </si>
  <si>
    <r>
      <t xml:space="preserve">2014/15 Tuition Fee Revenue Adjustments                                        Due to Changes in                                          Student Enrollment Patterns </t>
    </r>
    <r>
      <rPr>
        <vertAlign val="superscript"/>
        <sz val="11"/>
        <rFont val="Times New Roman"/>
        <family val="1"/>
      </rPr>
      <t>2</t>
    </r>
  </si>
  <si>
    <r>
      <rPr>
        <vertAlign val="superscript"/>
        <sz val="10"/>
        <color indexed="8"/>
        <rFont val="Times New Roman"/>
        <family val="1"/>
      </rPr>
      <t>2</t>
    </r>
    <r>
      <rPr>
        <sz val="10"/>
        <color indexed="8"/>
        <rFont val="Times New Roman"/>
        <family val="1"/>
      </rPr>
      <t>Represents the change in actual student enrollment patterns from 2011/12 to 2012/13 (past-year actual) including systemwide 1,240 nonresident FTES growth.</t>
    </r>
  </si>
  <si>
    <t>Total Net Tuition Fee Revenue (after tuition fee discounts)</t>
  </si>
  <si>
    <t xml:space="preserve">Net Budget Allocations (Projected Allocations Available) </t>
  </si>
  <si>
    <r>
      <rPr>
        <vertAlign val="superscript"/>
        <sz val="9"/>
        <color indexed="8"/>
        <rFont val="Times New Roman"/>
        <family val="1"/>
      </rPr>
      <t>1</t>
    </r>
    <r>
      <rPr>
        <sz val="9"/>
        <color indexed="8"/>
        <rFont val="Times New Roman"/>
        <family val="1"/>
      </rPr>
      <t>The 2014/15 Final Budget total (Col. 8) has been increased by $197.2M for CSU general obligation (GO) bond debt service formerly reported in statewide expenditures and moves $99.1M for CSU lease revenue bonds (LRB) debt service to the main CSU GF appropriation item. The GO bond funds were NOT included in the CSU General Fund appropriation prior to 2014/15.</t>
    </r>
  </si>
  <si>
    <r>
      <t>GO Bond Debt Service and LRB</t>
    </r>
    <r>
      <rPr>
        <vertAlign val="superscript"/>
        <sz val="10"/>
        <color indexed="8"/>
        <rFont val="Times New Roman"/>
        <family val="1"/>
      </rPr>
      <t>1</t>
    </r>
  </si>
  <si>
    <t>Tuition Fee Revenue Offset</t>
  </si>
  <si>
    <t>(14)</t>
  </si>
  <si>
    <t>(15)</t>
  </si>
  <si>
    <t>(Cols. 13 + 14)</t>
  </si>
  <si>
    <t>(Sum Cols. 1 - 6)</t>
  </si>
  <si>
    <r>
      <rPr>
        <vertAlign val="superscript"/>
        <sz val="9"/>
        <color indexed="8"/>
        <rFont val="Times New Roman"/>
        <family val="1"/>
      </rPr>
      <t>1</t>
    </r>
    <r>
      <rPr>
        <sz val="9"/>
        <color indexed="8"/>
        <rFont val="Times New Roman"/>
        <family val="1"/>
      </rPr>
      <t>Operations of new space is funded at $10.45 per square foot and $10 million will be used to finance a multi-million dollar initiative to address CSU deferred maintenance needs.</t>
    </r>
  </si>
  <si>
    <t>Total CSU General Fund Adjustments</t>
  </si>
  <si>
    <t>3% Compensation Pool Increase</t>
  </si>
  <si>
    <r>
      <rPr>
        <vertAlign val="superscript"/>
        <sz val="9"/>
        <color indexed="8"/>
        <rFont val="Times New Roman"/>
        <family val="1"/>
      </rPr>
      <t>3</t>
    </r>
    <r>
      <rPr>
        <sz val="9"/>
        <color indexed="8"/>
        <rFont val="Times New Roman"/>
        <family val="1"/>
      </rPr>
      <t>Augmentation included in the 2014/15 Budget Act for Center for California Studies.</t>
    </r>
  </si>
  <si>
    <r>
      <t xml:space="preserve">Ops. &amp; Maint. of New Space Need </t>
    </r>
    <r>
      <rPr>
        <b/>
        <u val="single"/>
        <sz val="10"/>
        <color indexed="8"/>
        <rFont val="Times New Roman"/>
        <family val="1"/>
      </rPr>
      <t>and</t>
    </r>
    <r>
      <rPr>
        <b/>
        <sz val="10"/>
        <color indexed="8"/>
        <rFont val="Times New Roman"/>
        <family val="1"/>
      </rPr>
      <t xml:space="preserve"> Deferred Maintenance / Infrastructure Financing</t>
    </r>
  </si>
  <si>
    <t xml:space="preserve">2014/15 Marginal Cost Funding for Enrollment Growth </t>
  </si>
  <si>
    <t>(Col. 13 * 1.137%)</t>
  </si>
  <si>
    <t>(Attach. B, Cols. 12 + 14)</t>
  </si>
  <si>
    <r>
      <t xml:space="preserve">2013/14 Faculty Equity Salary Adjustment </t>
    </r>
    <r>
      <rPr>
        <sz val="9"/>
        <color indexed="8"/>
        <rFont val="Times New Roman"/>
        <family val="1"/>
      </rPr>
      <t xml:space="preserve">(SW Funded, One-Third)  </t>
    </r>
  </si>
  <si>
    <r>
      <t xml:space="preserve">2013/14 Improving Student Success / Reduction of Bottleneck Courses Adjustments </t>
    </r>
    <r>
      <rPr>
        <vertAlign val="superscript"/>
        <sz val="11"/>
        <color indexed="8"/>
        <rFont val="Times New Roman"/>
        <family val="1"/>
      </rPr>
      <t>2</t>
    </r>
  </si>
  <si>
    <r>
      <t xml:space="preserve">Campus Operating Fee Revenue, State Interest Assessment Adjustment </t>
    </r>
    <r>
      <rPr>
        <vertAlign val="superscript"/>
        <sz val="11"/>
        <color indexed="8"/>
        <rFont val="Times New Roman"/>
        <family val="1"/>
      </rPr>
      <t>5</t>
    </r>
  </si>
  <si>
    <r>
      <t>General Fund Base (after GF</t>
    </r>
    <r>
      <rPr>
        <b/>
        <strike/>
        <sz val="11"/>
        <color indexed="8"/>
        <rFont val="Times New Roman"/>
        <family val="1"/>
      </rPr>
      <t xml:space="preserve"> </t>
    </r>
    <r>
      <rPr>
        <b/>
        <sz val="11"/>
        <color indexed="8"/>
        <rFont val="Times New Roman"/>
        <family val="1"/>
      </rPr>
      <t>Base Adjustment &amp; before Attach. C Increase</t>
    </r>
  </si>
  <si>
    <r>
      <rPr>
        <vertAlign val="superscript"/>
        <sz val="10"/>
        <color indexed="8"/>
        <rFont val="Times New Roman"/>
        <family val="1"/>
      </rPr>
      <t>1</t>
    </r>
    <r>
      <rPr>
        <sz val="10"/>
        <color indexed="8"/>
        <rFont val="Times New Roman"/>
        <family val="1"/>
      </rPr>
      <t>Beginning in 2013/14 per the state Budget Act of 2013, AB 110, GF adjustments for CSU employer retirement contributions to CalPERS will be based on the university's 2013/14 pensionable payroll. This 2013/14 est. retirement adjustment by campus is based on July-Dec. 2013 CSU Operating Fund pensionable payroll annualized. The allocations may be adjusted further after reconciliation with the state on the full-year 2013/14 pensionable payroll amount, which is expected in fall 2014.</t>
    </r>
  </si>
  <si>
    <r>
      <rPr>
        <vertAlign val="superscript"/>
        <sz val="10"/>
        <color indexed="8"/>
        <rFont val="Times New Roman"/>
        <family val="1"/>
      </rPr>
      <t>3</t>
    </r>
    <r>
      <rPr>
        <sz val="10"/>
        <color indexed="8"/>
        <rFont val="Times New Roman"/>
        <family val="1"/>
      </rPr>
      <t>2013/14 base enrollment adjustments for Channel Islands (1,033 FTES), Maritime Academy (68 FTES) and San Bernardino (100 FTES) at the 2013/14 GF marginal cost rate.</t>
    </r>
  </si>
  <si>
    <r>
      <rPr>
        <vertAlign val="superscript"/>
        <sz val="10"/>
        <color indexed="8"/>
        <rFont val="Times New Roman"/>
        <family val="1"/>
      </rPr>
      <t>6</t>
    </r>
    <r>
      <rPr>
        <sz val="10"/>
        <color indexed="8"/>
        <rFont val="Times New Roman"/>
        <family val="1"/>
      </rPr>
      <t xml:space="preserve">The difference between the tuition fee discount adjustments (Attach. D, Col. 11) and distribution based on campus relative need (Attach. E, Col. 3) results in GF allocation adjustments by campus. </t>
    </r>
  </si>
  <si>
    <t>ATTACHMENT A - 2014/15 REVISED Final Budget Allocations, Gross Budget Summary</t>
  </si>
  <si>
    <t xml:space="preserve">ATTACHMENT B - 2014/15 REVISED Final Budget Allocations, General Fund Base Adjustments </t>
  </si>
  <si>
    <t>ATTACHMENT C - 2014/15 REVISED Final Budget Allocations, CSU General Fund Adjustments</t>
  </si>
  <si>
    <t xml:space="preserve">General Fund Base (before adjustment to support CSU Operations) </t>
  </si>
  <si>
    <r>
      <rPr>
        <vertAlign val="superscript"/>
        <sz val="10"/>
        <color indexed="8"/>
        <rFont val="Times New Roman"/>
        <family val="1"/>
      </rPr>
      <t>2</t>
    </r>
    <r>
      <rPr>
        <sz val="10"/>
        <color indexed="8"/>
        <rFont val="Times New Roman"/>
        <family val="1"/>
      </rPr>
      <t>Campus base budget adjustments for $7.2M awards to improve student success are distributed. Funding for reduction of bottleneck courses will continue to be determined through Academic Affairs (A.A.) RFP process and related funding is moved from Systemwide Provisions to Chancellor's Office A.A.</t>
    </r>
  </si>
  <si>
    <r>
      <t xml:space="preserve">ATTACHMENT D - 2014/15 Final Budget Allocations, Tuition Fee Revenue Adjustments </t>
    </r>
    <r>
      <rPr>
        <b/>
        <i/>
        <sz val="13"/>
        <color indexed="8"/>
        <rFont val="Times New Roman"/>
        <family val="1"/>
      </rPr>
      <t>(no changes)</t>
    </r>
  </si>
  <si>
    <r>
      <t xml:space="preserve">ATTACHMENT E - 2014/15 Final Budget Allocations, Tuition Fee Discount Adjustments </t>
    </r>
    <r>
      <rPr>
        <b/>
        <i/>
        <sz val="13"/>
        <color indexed="8"/>
        <rFont val="Times New Roman"/>
        <family val="1"/>
      </rPr>
      <t>(no changes)</t>
    </r>
  </si>
  <si>
    <t>GF Base Adjustments</t>
  </si>
  <si>
    <t>CSU GF Adjustments</t>
  </si>
  <si>
    <r>
      <t xml:space="preserve">GF Adjustment to Support CSU Operations </t>
    </r>
    <r>
      <rPr>
        <vertAlign val="superscript"/>
        <sz val="11"/>
        <color indexed="8"/>
        <rFont val="Times New Roman"/>
        <family val="1"/>
      </rPr>
      <t>7</t>
    </r>
  </si>
  <si>
    <r>
      <rPr>
        <vertAlign val="superscript"/>
        <sz val="9"/>
        <color indexed="8"/>
        <rFont val="Times New Roman"/>
        <family val="1"/>
      </rPr>
      <t>2</t>
    </r>
    <r>
      <rPr>
        <sz val="9"/>
        <color indexed="8"/>
        <rFont val="Times New Roman"/>
        <family val="1"/>
      </rPr>
      <t>3% compensation increase is distributed based on 2013/14 actual salaries; $1 million balance in SWPs held pending outcomes of collective bargaining.</t>
    </r>
  </si>
  <si>
    <t xml:space="preserve"> (Attach. D, Col. 3 @$9,737/FTES)</t>
  </si>
  <si>
    <t>(Attach. D, Col. 12)</t>
  </si>
  <si>
    <r>
      <rPr>
        <vertAlign val="superscript"/>
        <sz val="10"/>
        <color indexed="8"/>
        <rFont val="Times New Roman"/>
        <family val="1"/>
      </rPr>
      <t>7</t>
    </r>
    <r>
      <rPr>
        <sz val="10"/>
        <color indexed="8"/>
        <rFont val="Times New Roman"/>
        <family val="1"/>
      </rPr>
      <t xml:space="preserve">Equivalent to 1.137% GF adjustments assessment </t>
    </r>
    <r>
      <rPr>
        <sz val="10"/>
        <color indexed="8"/>
        <rFont val="Times New Roman"/>
        <family val="1"/>
      </rPr>
      <t xml:space="preserve">of $24.5M to support CSU operations. </t>
    </r>
  </si>
  <si>
    <r>
      <rPr>
        <vertAlign val="superscript"/>
        <sz val="9"/>
        <color indexed="8"/>
        <rFont val="Times New Roman"/>
        <family val="1"/>
      </rPr>
      <t>4</t>
    </r>
    <r>
      <rPr>
        <sz val="9"/>
        <color indexed="8"/>
        <rFont val="Times New Roman"/>
        <family val="1"/>
      </rPr>
      <t xml:space="preserve">Reflects </t>
    </r>
    <r>
      <rPr>
        <sz val="9"/>
        <color indexed="8"/>
        <rFont val="Times New Roman"/>
        <family val="1"/>
      </rPr>
      <t xml:space="preserve">allocation and retention of available resources to </t>
    </r>
    <r>
      <rPr>
        <sz val="9"/>
        <color indexed="8"/>
        <rFont val="Times New Roman"/>
        <family val="1"/>
      </rPr>
      <t>support systemwide operating budget initiatives.</t>
    </r>
  </si>
  <si>
    <t>Coded Memo B 2014-03, August 28, 2014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</si>
</sst>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_(* #,##0_);_(* \(#,##0\);_(* &quot;-&quot;??_);_(@_)"/>
    <numFmt numFmtId="167" formatCode="0.00000%"/>
    <numFmt numFmtId="168" formatCode="0.000%"/>
    <numFmt numFmtId="169" formatCode="#,##0.00000_);\(#,##0.00000\)"/>
    <numFmt numFmtId="170" formatCode="0.0000%"/>
  </numFmts>
  <fonts count="112">
    <font>
      <sz val="10"/>
      <name val="Times New Roman"/>
      <family val="0"/>
    </font>
    <font>
      <sz val="11"/>
      <color indexed="8"/>
      <name val="Calibri"/>
      <family val="2"/>
    </font>
    <font>
      <b/>
      <sz val="10"/>
      <name val="Times New Roman"/>
      <family val="1"/>
    </font>
    <font>
      <b/>
      <sz val="12"/>
      <name val="Times New Roman"/>
      <family val="1"/>
    </font>
    <font>
      <i/>
      <sz val="8"/>
      <name val="Times New Roman"/>
      <family val="1"/>
    </font>
    <font>
      <sz val="10"/>
      <color indexed="8"/>
      <name val="Times New Roman"/>
      <family val="1"/>
    </font>
    <font>
      <b/>
      <sz val="11"/>
      <name val="Times New Roman"/>
      <family val="1"/>
    </font>
    <font>
      <sz val="11"/>
      <name val="Times New Roman"/>
      <family val="1"/>
    </font>
    <font>
      <b/>
      <sz val="13"/>
      <name val="Times New Roman"/>
      <family val="1"/>
    </font>
    <font>
      <vertAlign val="superscript"/>
      <sz val="11"/>
      <name val="Times New Roman"/>
      <family val="1"/>
    </font>
    <font>
      <sz val="10"/>
      <name val="Arial"/>
      <family val="2"/>
    </font>
    <font>
      <sz val="12"/>
      <color indexed="8"/>
      <name val="Times New Roman"/>
      <family val="2"/>
    </font>
    <font>
      <sz val="11"/>
      <color indexed="8"/>
      <name val="Times New Roman"/>
      <family val="1"/>
    </font>
    <font>
      <b/>
      <sz val="13"/>
      <color indexed="8"/>
      <name val="Times New Roman"/>
      <family val="1"/>
    </font>
    <font>
      <b/>
      <sz val="11"/>
      <color indexed="8"/>
      <name val="Times New Roman"/>
      <family val="1"/>
    </font>
    <font>
      <b/>
      <i/>
      <sz val="11"/>
      <color indexed="8"/>
      <name val="Times New Roman"/>
      <family val="1"/>
    </font>
    <font>
      <b/>
      <sz val="14"/>
      <name val="Times New Roman"/>
      <family val="1"/>
    </font>
    <font>
      <b/>
      <i/>
      <sz val="11"/>
      <color indexed="10"/>
      <name val="Times New Roman"/>
      <family val="1"/>
    </font>
    <font>
      <i/>
      <sz val="11"/>
      <color indexed="8"/>
      <name val="Times New Roman"/>
      <family val="1"/>
    </font>
    <font>
      <i/>
      <sz val="8"/>
      <color indexed="8"/>
      <name val="Times New Roman"/>
      <family val="1"/>
    </font>
    <font>
      <sz val="10"/>
      <color indexed="10"/>
      <name val="Times New Roman"/>
      <family val="1"/>
    </font>
    <font>
      <i/>
      <sz val="8"/>
      <color indexed="10"/>
      <name val="Times New Roman"/>
      <family val="1"/>
    </font>
    <font>
      <sz val="8"/>
      <color indexed="8"/>
      <name val="Times New Roman"/>
      <family val="1"/>
    </font>
    <font>
      <i/>
      <sz val="12"/>
      <color indexed="8"/>
      <name val="Times New Roman"/>
      <family val="1"/>
    </font>
    <font>
      <i/>
      <sz val="10"/>
      <color indexed="8"/>
      <name val="Times New Roman"/>
      <family val="1"/>
    </font>
    <font>
      <b/>
      <sz val="12"/>
      <color indexed="8"/>
      <name val="Times New Roman"/>
      <family val="1"/>
    </font>
    <font>
      <sz val="9"/>
      <color indexed="8"/>
      <name val="Times New Roman"/>
      <family val="1"/>
    </font>
    <font>
      <vertAlign val="superscript"/>
      <sz val="9"/>
      <color indexed="8"/>
      <name val="Times New Roman"/>
      <family val="1"/>
    </font>
    <font>
      <sz val="8"/>
      <color indexed="10"/>
      <name val="Times New Roman"/>
      <family val="1"/>
    </font>
    <font>
      <b/>
      <sz val="9.5"/>
      <color indexed="8"/>
      <name val="Times New Roman"/>
      <family val="1"/>
    </font>
    <font>
      <vertAlign val="superscript"/>
      <sz val="10"/>
      <color indexed="8"/>
      <name val="Times New Roman"/>
      <family val="1"/>
    </font>
    <font>
      <sz val="10"/>
      <name val="Geneva"/>
      <family val="0"/>
    </font>
    <font>
      <b/>
      <i/>
      <sz val="12"/>
      <color indexed="8"/>
      <name val="Times New Roman"/>
      <family val="1"/>
    </font>
    <font>
      <b/>
      <i/>
      <sz val="10"/>
      <color indexed="8"/>
      <name val="Times New Roman"/>
      <family val="1"/>
    </font>
    <font>
      <b/>
      <sz val="10"/>
      <color indexed="8"/>
      <name val="Times New Roman"/>
      <family val="1"/>
    </font>
    <font>
      <u val="single"/>
      <sz val="10"/>
      <color indexed="8"/>
      <name val="Times New Roman"/>
      <family val="1"/>
    </font>
    <font>
      <i/>
      <sz val="7.5"/>
      <color indexed="8"/>
      <name val="Times New Roman"/>
      <family val="1"/>
    </font>
    <font>
      <b/>
      <sz val="14"/>
      <color indexed="10"/>
      <name val="Times New Roman"/>
      <family val="1"/>
    </font>
    <font>
      <vertAlign val="superscript"/>
      <sz val="11"/>
      <color indexed="8"/>
      <name val="Times New Roman"/>
      <family val="1"/>
    </font>
    <font>
      <u val="single"/>
      <sz val="9"/>
      <color indexed="8"/>
      <name val="Times New Roman"/>
      <family val="1"/>
    </font>
    <font>
      <i/>
      <sz val="7"/>
      <color indexed="8"/>
      <name val="Times New Roman"/>
      <family val="1"/>
    </font>
    <font>
      <b/>
      <vertAlign val="superscript"/>
      <sz val="11"/>
      <color indexed="8"/>
      <name val="Times New Roman"/>
      <family val="1"/>
    </font>
    <font>
      <b/>
      <sz val="11"/>
      <color indexed="8"/>
      <name val="Calibri"/>
      <family val="2"/>
    </font>
    <font>
      <b/>
      <vertAlign val="superscript"/>
      <sz val="10"/>
      <color indexed="8"/>
      <name val="Times New Roman"/>
      <family val="1"/>
    </font>
    <font>
      <b/>
      <u val="single"/>
      <sz val="10"/>
      <color indexed="8"/>
      <name val="Times New Roman"/>
      <family val="1"/>
    </font>
    <font>
      <b/>
      <strike/>
      <sz val="11"/>
      <color indexed="8"/>
      <name val="Times New Roman"/>
      <family val="1"/>
    </font>
    <font>
      <i/>
      <sz val="6"/>
      <color indexed="8"/>
      <name val="Times New Roman"/>
      <family val="1"/>
    </font>
    <font>
      <sz val="10"/>
      <color indexed="8"/>
      <name val="Arial"/>
      <family val="2"/>
    </font>
    <font>
      <b/>
      <i/>
      <sz val="13"/>
      <color indexed="8"/>
      <name val="Times New Roman"/>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2"/>
      <color theme="1"/>
      <name val="Times New Roman"/>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3"/>
      <color theme="1"/>
      <name val="Times New Roman"/>
      <family val="1"/>
    </font>
    <font>
      <sz val="10"/>
      <color theme="1"/>
      <name val="Times New Roman"/>
      <family val="1"/>
    </font>
    <font>
      <b/>
      <sz val="11"/>
      <color theme="1"/>
      <name val="Times New Roman"/>
      <family val="1"/>
    </font>
    <font>
      <sz val="11"/>
      <color theme="1"/>
      <name val="Times New Roman"/>
      <family val="1"/>
    </font>
    <font>
      <b/>
      <i/>
      <sz val="11"/>
      <color rgb="FFFF0000"/>
      <name val="Times New Roman"/>
      <family val="1"/>
    </font>
    <font>
      <b/>
      <i/>
      <sz val="11"/>
      <color theme="1"/>
      <name val="Times New Roman"/>
      <family val="1"/>
    </font>
    <font>
      <i/>
      <sz val="8"/>
      <color rgb="FFFF0000"/>
      <name val="Times New Roman"/>
      <family val="1"/>
    </font>
    <font>
      <i/>
      <sz val="12"/>
      <color theme="1"/>
      <name val="Times New Roman"/>
      <family val="1"/>
    </font>
    <font>
      <sz val="8"/>
      <color theme="1"/>
      <name val="Times New Roman"/>
      <family val="1"/>
    </font>
    <font>
      <i/>
      <sz val="11"/>
      <color theme="1"/>
      <name val="Times New Roman"/>
      <family val="1"/>
    </font>
    <font>
      <b/>
      <sz val="12"/>
      <color theme="1"/>
      <name val="Times New Roman"/>
      <family val="1"/>
    </font>
    <font>
      <i/>
      <sz val="10"/>
      <color theme="1"/>
      <name val="Times New Roman"/>
      <family val="1"/>
    </font>
    <font>
      <i/>
      <sz val="8"/>
      <color theme="1"/>
      <name val="Times New Roman"/>
      <family val="1"/>
    </font>
    <font>
      <sz val="10"/>
      <color rgb="FFFF0000"/>
      <name val="Times New Roman"/>
      <family val="1"/>
    </font>
    <font>
      <b/>
      <i/>
      <sz val="12"/>
      <color theme="1"/>
      <name val="Times New Roman"/>
      <family val="1"/>
    </font>
    <font>
      <b/>
      <i/>
      <sz val="10"/>
      <color theme="1"/>
      <name val="Times New Roman"/>
      <family val="1"/>
    </font>
    <font>
      <b/>
      <sz val="10"/>
      <color theme="1"/>
      <name val="Times New Roman"/>
      <family val="1"/>
    </font>
    <font>
      <i/>
      <sz val="7.5"/>
      <color theme="1"/>
      <name val="Times New Roman"/>
      <family val="1"/>
    </font>
    <font>
      <vertAlign val="superscript"/>
      <sz val="10"/>
      <color theme="1"/>
      <name val="Times New Roman"/>
      <family val="1"/>
    </font>
    <font>
      <vertAlign val="superscript"/>
      <sz val="9"/>
      <color theme="1"/>
      <name val="Times New Roman"/>
      <family val="1"/>
    </font>
    <font>
      <sz val="9"/>
      <color theme="1"/>
      <name val="Times New Roman"/>
      <family val="1"/>
    </font>
    <font>
      <b/>
      <sz val="14"/>
      <color rgb="FFFF0000"/>
      <name val="Times New Roman"/>
      <family val="1"/>
    </font>
    <font>
      <vertAlign val="superscript"/>
      <sz val="11"/>
      <color theme="1"/>
      <name val="Times New Roman"/>
      <family val="1"/>
    </font>
    <font>
      <sz val="8"/>
      <color rgb="FFFF0000"/>
      <name val="Times New Roman"/>
      <family val="1"/>
    </font>
    <font>
      <b/>
      <sz val="9.5"/>
      <color theme="1"/>
      <name val="Times New Roman"/>
      <family val="1"/>
    </font>
    <font>
      <b/>
      <vertAlign val="superscript"/>
      <sz val="10"/>
      <color theme="1"/>
      <name val="Times New Roman"/>
      <family val="1"/>
    </font>
    <font>
      <b/>
      <vertAlign val="superscript"/>
      <sz val="11"/>
      <color theme="1"/>
      <name val="Times New Roman"/>
      <family val="1"/>
    </font>
    <font>
      <i/>
      <sz val="6"/>
      <color theme="1"/>
      <name val="Times New Roman"/>
      <family val="1"/>
    </font>
    <font>
      <sz val="10"/>
      <color theme="1"/>
      <name val="Arial"/>
      <family val="2"/>
    </font>
    <font>
      <i/>
      <sz val="7"/>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top/>
      <bottom style="medium"/>
    </border>
    <border>
      <left style="thin"/>
      <right/>
      <top/>
      <bottom/>
    </border>
    <border>
      <left/>
      <right style="thin"/>
      <top/>
      <bottom/>
    </border>
    <border>
      <left style="thin"/>
      <right/>
      <top/>
      <bottom style="thin"/>
    </border>
    <border>
      <left/>
      <right style="thin"/>
      <top/>
      <bottom style="thin"/>
    </border>
    <border>
      <left style="thin"/>
      <right/>
      <top style="medium"/>
      <bottom/>
    </border>
    <border>
      <left style="medium"/>
      <right/>
      <top/>
      <bottom/>
    </border>
    <border>
      <left/>
      <right style="medium"/>
      <top/>
      <bottom/>
    </border>
    <border>
      <left/>
      <right/>
      <top style="thin"/>
      <bottom style="thin"/>
    </border>
    <border>
      <left/>
      <right/>
      <top style="thin"/>
      <bottom style="medium"/>
    </border>
    <border>
      <left/>
      <right/>
      <top/>
      <bottom style="thin"/>
    </border>
    <border>
      <left/>
      <right style="thin"/>
      <top style="thin"/>
      <bottom/>
    </border>
    <border>
      <left style="medium"/>
      <right/>
      <top style="thin"/>
      <bottom style="medium"/>
    </border>
    <border>
      <left style="medium">
        <color theme="1"/>
      </left>
      <right/>
      <top style="medium">
        <color theme="1"/>
      </top>
      <bottom/>
    </border>
    <border>
      <left style="medium"/>
      <right/>
      <top style="thin"/>
      <bottom style="thin"/>
    </border>
    <border>
      <left style="thin"/>
      <right/>
      <top style="thin"/>
      <bottom style="thin"/>
    </border>
    <border>
      <left/>
      <right style="thin"/>
      <top style="thin"/>
      <bottom style="thin"/>
    </border>
    <border>
      <left/>
      <right/>
      <top style="medium"/>
      <bottom/>
    </border>
    <border>
      <left style="thin"/>
      <right/>
      <top style="thin"/>
      <bottom style="medium"/>
    </border>
    <border>
      <left style="thin"/>
      <right/>
      <top/>
      <bottom style="medium"/>
    </border>
    <border>
      <left/>
      <right style="thin"/>
      <top style="thin"/>
      <bottom style="medium"/>
    </border>
    <border>
      <left/>
      <right style="medium"/>
      <top style="thin"/>
      <bottom style="thin"/>
    </border>
    <border>
      <left style="medium"/>
      <right/>
      <top/>
      <bottom style="thin"/>
    </border>
    <border>
      <left/>
      <right style="medium"/>
      <top/>
      <bottom style="thin"/>
    </border>
    <border>
      <left style="medium"/>
      <right/>
      <top/>
      <bottom style="medium"/>
    </border>
    <border>
      <left/>
      <right style="medium"/>
      <top/>
      <bottom style="medium"/>
    </border>
    <border>
      <left style="medium"/>
      <right style="thin"/>
      <top/>
      <bottom/>
    </border>
    <border>
      <left style="medium"/>
      <right style="thin"/>
      <top style="thin"/>
      <bottom style="thin"/>
    </border>
    <border>
      <left style="medium"/>
      <right style="thin"/>
      <top style="thin"/>
      <bottom style="medium"/>
    </border>
    <border>
      <left style="medium">
        <color theme="1"/>
      </left>
      <right/>
      <top/>
      <bottom style="medium">
        <color theme="1"/>
      </bottom>
    </border>
    <border>
      <left style="thin"/>
      <right style="thin"/>
      <top style="thin"/>
      <bottom/>
    </border>
    <border>
      <left style="thin"/>
      <right style="thin"/>
      <top/>
      <bottom/>
    </border>
    <border>
      <left style="thin"/>
      <right style="thin"/>
      <top style="thin"/>
      <bottom style="thin"/>
    </border>
    <border>
      <left style="thin"/>
      <right style="thin"/>
      <top/>
      <bottom style="thin"/>
    </border>
    <border>
      <left style="thin"/>
      <right style="thin"/>
      <top style="thin"/>
      <bottom style="medium"/>
    </border>
    <border>
      <left/>
      <right/>
      <top style="medium"/>
      <bottom style="thin"/>
    </border>
    <border>
      <left style="medium"/>
      <right/>
      <top style="medium"/>
      <bottom style="thin"/>
    </border>
    <border>
      <left/>
      <right style="medium"/>
      <top style="medium"/>
      <bottom style="thin"/>
    </border>
    <border>
      <left/>
      <right style="thin"/>
      <top/>
      <bottom style="medium"/>
    </border>
  </borders>
  <cellStyleXfs count="10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6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64" fillId="0" borderId="0" applyFont="0" applyFill="0" applyBorder="0" applyAlignment="0" applyProtection="0"/>
    <xf numFmtId="44" fontId="64" fillId="0" borderId="0" applyFont="0" applyFill="0" applyBorder="0" applyAlignment="0" applyProtection="0"/>
    <xf numFmtId="0" fontId="70" fillId="0" borderId="0" applyNumberFormat="0" applyFill="0" applyBorder="0" applyAlignment="0" applyProtection="0"/>
    <xf numFmtId="0" fontId="71" fillId="29"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9" fillId="0" borderId="0">
      <alignment/>
      <protection/>
    </xf>
    <xf numFmtId="0" fontId="69"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78"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 fillId="0" borderId="0" applyFont="0" applyFill="0" applyBorder="0" applyAlignment="0" applyProtection="0"/>
    <xf numFmtId="0" fontId="31" fillId="0" borderId="0">
      <alignment/>
      <protection/>
    </xf>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472">
    <xf numFmtId="0" fontId="0" fillId="0" borderId="0" xfId="0" applyAlignment="1">
      <alignment/>
    </xf>
    <xf numFmtId="37" fontId="82" fillId="0" borderId="0" xfId="0" applyNumberFormat="1" applyFont="1" applyFill="1" applyAlignment="1">
      <alignment/>
    </xf>
    <xf numFmtId="0" fontId="82" fillId="0" borderId="0" xfId="75" applyFont="1" applyFill="1" applyBorder="1" applyAlignment="1">
      <alignment/>
      <protection/>
    </xf>
    <xf numFmtId="0" fontId="83" fillId="0" borderId="0" xfId="75" applyFont="1" applyFill="1" applyBorder="1">
      <alignment/>
      <protection/>
    </xf>
    <xf numFmtId="0" fontId="83" fillId="0" borderId="0" xfId="75" applyFont="1" applyFill="1" applyBorder="1" applyAlignment="1">
      <alignment horizontal="center"/>
      <protection/>
    </xf>
    <xf numFmtId="37" fontId="84" fillId="0" borderId="0" xfId="75" applyNumberFormat="1" applyFont="1" applyFill="1" applyBorder="1" applyAlignment="1">
      <alignment horizontal="center"/>
      <protection/>
    </xf>
    <xf numFmtId="0" fontId="83" fillId="0" borderId="10" xfId="75" applyFont="1" applyFill="1" applyBorder="1">
      <alignment/>
      <protection/>
    </xf>
    <xf numFmtId="0" fontId="83" fillId="0" borderId="11" xfId="75" applyFont="1" applyFill="1" applyBorder="1">
      <alignment/>
      <protection/>
    </xf>
    <xf numFmtId="0" fontId="85" fillId="0" borderId="12" xfId="75" applyFont="1" applyFill="1" applyBorder="1" applyAlignment="1">
      <alignment/>
      <protection/>
    </xf>
    <xf numFmtId="0" fontId="83" fillId="0" borderId="0" xfId="75" applyFont="1" applyFill="1" applyBorder="1" applyAlignment="1">
      <alignment/>
      <protection/>
    </xf>
    <xf numFmtId="0" fontId="85" fillId="0" borderId="0" xfId="75" applyFont="1" applyFill="1" applyBorder="1" applyAlignment="1">
      <alignment/>
      <protection/>
    </xf>
    <xf numFmtId="0" fontId="85" fillId="0" borderId="0" xfId="75" applyFont="1" applyFill="1" applyBorder="1">
      <alignment/>
      <protection/>
    </xf>
    <xf numFmtId="0" fontId="85" fillId="0" borderId="0" xfId="75" applyFont="1" applyFill="1" applyBorder="1" applyAlignment="1">
      <alignment horizontal="center"/>
      <protection/>
    </xf>
    <xf numFmtId="0" fontId="85" fillId="0" borderId="13" xfId="75" applyFont="1" applyFill="1" applyBorder="1" applyAlignment="1">
      <alignment horizontal="center"/>
      <protection/>
    </xf>
    <xf numFmtId="0" fontId="85" fillId="0" borderId="14" xfId="75" applyFont="1" applyFill="1" applyBorder="1" applyAlignment="1">
      <alignment horizontal="center"/>
      <protection/>
    </xf>
    <xf numFmtId="0" fontId="83" fillId="0" borderId="14" xfId="75" applyFont="1" applyFill="1" applyBorder="1">
      <alignment/>
      <protection/>
    </xf>
    <xf numFmtId="0" fontId="85" fillId="0" borderId="13" xfId="75" applyFont="1" applyFill="1" applyBorder="1">
      <alignment/>
      <protection/>
    </xf>
    <xf numFmtId="0" fontId="85" fillId="0" borderId="13" xfId="75" applyFont="1" applyFill="1" applyBorder="1" applyAlignment="1" quotePrefix="1">
      <alignment horizontal="center"/>
      <protection/>
    </xf>
    <xf numFmtId="37" fontId="85" fillId="0" borderId="0" xfId="75" applyNumberFormat="1" applyFont="1" applyFill="1" applyBorder="1">
      <alignment/>
      <protection/>
    </xf>
    <xf numFmtId="5" fontId="85" fillId="0" borderId="0" xfId="75" applyNumberFormat="1" applyFont="1" applyFill="1" applyBorder="1">
      <alignment/>
      <protection/>
    </xf>
    <xf numFmtId="0" fontId="85" fillId="0" borderId="15" xfId="75" applyFont="1" applyFill="1" applyBorder="1" applyAlignment="1">
      <alignment horizontal="center"/>
      <protection/>
    </xf>
    <xf numFmtId="0" fontId="83" fillId="0" borderId="16" xfId="75" applyFont="1" applyFill="1" applyBorder="1">
      <alignment/>
      <protection/>
    </xf>
    <xf numFmtId="5" fontId="85" fillId="0" borderId="0" xfId="61" applyNumberFormat="1" applyFont="1" applyFill="1" applyBorder="1" applyAlignment="1">
      <alignment/>
    </xf>
    <xf numFmtId="5" fontId="83" fillId="0" borderId="0" xfId="75" applyNumberFormat="1" applyFont="1" applyFill="1" applyBorder="1">
      <alignment/>
      <protection/>
    </xf>
    <xf numFmtId="3" fontId="83" fillId="0" borderId="0" xfId="75" applyNumberFormat="1" applyFont="1" applyFill="1" applyBorder="1">
      <alignment/>
      <protection/>
    </xf>
    <xf numFmtId="3" fontId="83" fillId="0" borderId="0" xfId="75" applyNumberFormat="1" applyFont="1" applyFill="1" applyBorder="1" applyAlignment="1">
      <alignment horizontal="center"/>
      <protection/>
    </xf>
    <xf numFmtId="165" fontId="83" fillId="0" borderId="0" xfId="75" applyNumberFormat="1" applyFont="1" applyFill="1" applyBorder="1">
      <alignment/>
      <protection/>
    </xf>
    <xf numFmtId="0" fontId="85" fillId="0" borderId="0" xfId="75" applyFont="1" applyFill="1" applyBorder="1" applyAlignment="1">
      <alignment horizontal="center" wrapText="1"/>
      <protection/>
    </xf>
    <xf numFmtId="0" fontId="86" fillId="0" borderId="0" xfId="75" applyFont="1" applyFill="1" applyBorder="1">
      <alignment/>
      <protection/>
    </xf>
    <xf numFmtId="0" fontId="84" fillId="0" borderId="13" xfId="75" applyFont="1" applyFill="1" applyBorder="1" applyAlignment="1" quotePrefix="1">
      <alignment wrapText="1"/>
      <protection/>
    </xf>
    <xf numFmtId="37" fontId="83" fillId="0" borderId="0" xfId="75" applyNumberFormat="1" applyFont="1" applyFill="1" applyBorder="1">
      <alignment/>
      <protection/>
    </xf>
    <xf numFmtId="37" fontId="0" fillId="0" borderId="0" xfId="0" applyNumberFormat="1" applyFont="1" applyFill="1" applyAlignment="1">
      <alignment/>
    </xf>
    <xf numFmtId="0" fontId="83" fillId="0" borderId="13" xfId="75" applyFont="1" applyFill="1" applyBorder="1" applyAlignment="1">
      <alignment horizontal="center" vertical="center"/>
      <protection/>
    </xf>
    <xf numFmtId="0" fontId="85" fillId="0" borderId="0" xfId="75" applyFont="1" applyFill="1" applyBorder="1" applyAlignment="1">
      <alignment vertical="center"/>
      <protection/>
    </xf>
    <xf numFmtId="0" fontId="85" fillId="0" borderId="17" xfId="75" applyFont="1" applyFill="1" applyBorder="1" applyAlignment="1">
      <alignment horizontal="center" vertical="center"/>
      <protection/>
    </xf>
    <xf numFmtId="0" fontId="85" fillId="0" borderId="0" xfId="75" applyFont="1" applyFill="1" applyBorder="1" applyAlignment="1">
      <alignment horizontal="center" vertical="center"/>
      <protection/>
    </xf>
    <xf numFmtId="0" fontId="85" fillId="0" borderId="13" xfId="75" applyFont="1" applyFill="1" applyBorder="1" applyAlignment="1">
      <alignment horizontal="center" vertical="center"/>
      <protection/>
    </xf>
    <xf numFmtId="0" fontId="85" fillId="0" borderId="14" xfId="75" applyFont="1" applyFill="1" applyBorder="1" applyAlignment="1">
      <alignment horizontal="center" vertical="center"/>
      <protection/>
    </xf>
    <xf numFmtId="0" fontId="87" fillId="0" borderId="0" xfId="75" applyFont="1" applyFill="1" applyBorder="1" applyAlignment="1">
      <alignment horizontal="center" vertical="center"/>
      <protection/>
    </xf>
    <xf numFmtId="0" fontId="83" fillId="0" borderId="14" xfId="75" applyFont="1" applyFill="1" applyBorder="1" applyAlignment="1">
      <alignment vertical="center"/>
      <protection/>
    </xf>
    <xf numFmtId="0" fontId="83" fillId="0" borderId="0" xfId="75" applyFont="1" applyFill="1" applyBorder="1" applyAlignment="1">
      <alignment vertical="center"/>
      <protection/>
    </xf>
    <xf numFmtId="37" fontId="83" fillId="0" borderId="0" xfId="0" applyNumberFormat="1" applyFont="1" applyFill="1" applyAlignment="1">
      <alignment/>
    </xf>
    <xf numFmtId="166" fontId="83" fillId="0" borderId="0" xfId="46" applyNumberFormat="1" applyFont="1" applyFill="1" applyBorder="1" applyAlignment="1">
      <alignment/>
    </xf>
    <xf numFmtId="0" fontId="86" fillId="0" borderId="13" xfId="75" applyFont="1" applyFill="1" applyBorder="1">
      <alignment/>
      <protection/>
    </xf>
    <xf numFmtId="37" fontId="6" fillId="0" borderId="0" xfId="0" applyNumberFormat="1" applyFont="1" applyFill="1" applyAlignment="1" quotePrefix="1">
      <alignment horizontal="center"/>
    </xf>
    <xf numFmtId="0" fontId="8" fillId="0" borderId="0" xfId="85" applyFont="1" applyFill="1" applyBorder="1">
      <alignment/>
      <protection/>
    </xf>
    <xf numFmtId="0" fontId="7" fillId="0" borderId="0" xfId="85" applyFont="1" applyFill="1" applyBorder="1">
      <alignment/>
      <protection/>
    </xf>
    <xf numFmtId="0" fontId="6" fillId="0" borderId="0" xfId="85" applyFont="1" applyFill="1" applyBorder="1">
      <alignment/>
      <protection/>
    </xf>
    <xf numFmtId="0" fontId="3" fillId="0" borderId="0" xfId="85" applyFont="1" applyFill="1" applyBorder="1" applyAlignment="1">
      <alignment horizontal="right"/>
      <protection/>
    </xf>
    <xf numFmtId="0" fontId="7" fillId="0" borderId="0" xfId="85" applyFont="1" applyFill="1">
      <alignment/>
      <protection/>
    </xf>
    <xf numFmtId="0" fontId="7" fillId="0" borderId="0" xfId="85" applyFont="1" applyFill="1" applyBorder="1" applyAlignment="1">
      <alignment horizontal="center" wrapText="1"/>
      <protection/>
    </xf>
    <xf numFmtId="0" fontId="7" fillId="0" borderId="18" xfId="85" applyFont="1" applyFill="1" applyBorder="1" applyAlignment="1">
      <alignment horizontal="center" wrapText="1"/>
      <protection/>
    </xf>
    <xf numFmtId="0" fontId="7" fillId="0" borderId="0" xfId="85" applyFont="1" applyFill="1" applyAlignment="1">
      <alignment horizontal="center" wrapText="1"/>
      <protection/>
    </xf>
    <xf numFmtId="5" fontId="7" fillId="0" borderId="0" xfId="85" applyNumberFormat="1" applyFont="1" applyFill="1">
      <alignment/>
      <protection/>
    </xf>
    <xf numFmtId="0" fontId="5" fillId="0" borderId="0" xfId="85" applyFont="1" applyFill="1">
      <alignment/>
      <protection/>
    </xf>
    <xf numFmtId="0" fontId="0" fillId="0" borderId="0" xfId="85" applyFont="1" applyFill="1">
      <alignment/>
      <protection/>
    </xf>
    <xf numFmtId="0" fontId="7" fillId="0" borderId="0" xfId="85" applyFont="1" applyFill="1" applyAlignment="1">
      <alignment horizontal="center"/>
      <protection/>
    </xf>
    <xf numFmtId="0" fontId="0" fillId="0" borderId="0" xfId="85" applyFont="1" applyFill="1" applyAlignment="1">
      <alignment horizontal="center"/>
      <protection/>
    </xf>
    <xf numFmtId="0" fontId="5" fillId="0" borderId="0" xfId="85" applyNumberFormat="1" applyFont="1" applyFill="1" applyAlignment="1">
      <alignment wrapText="1"/>
      <protection/>
    </xf>
    <xf numFmtId="0" fontId="7" fillId="0" borderId="0" xfId="85" applyFont="1" applyFill="1" applyAlignment="1">
      <alignment vertical="center"/>
      <protection/>
    </xf>
    <xf numFmtId="5" fontId="7" fillId="0" borderId="0" xfId="85" applyNumberFormat="1" applyFont="1" applyFill="1" applyAlignment="1">
      <alignment vertical="center"/>
      <protection/>
    </xf>
    <xf numFmtId="0" fontId="16" fillId="0" borderId="0" xfId="78" applyFont="1" applyFill="1">
      <alignment/>
      <protection/>
    </xf>
    <xf numFmtId="0" fontId="7" fillId="0" borderId="19" xfId="85" applyFont="1" applyFill="1" applyBorder="1" applyAlignment="1">
      <alignment horizontal="center" wrapText="1"/>
      <protection/>
    </xf>
    <xf numFmtId="0" fontId="88" fillId="0" borderId="0" xfId="85" applyFont="1" applyFill="1" applyBorder="1" applyAlignment="1">
      <alignment horizontal="center" vertical="center" wrapText="1"/>
      <protection/>
    </xf>
    <xf numFmtId="0" fontId="88" fillId="0" borderId="0" xfId="85" applyFont="1" applyFill="1" applyAlignment="1">
      <alignment horizontal="center" vertical="center" wrapText="1"/>
      <protection/>
    </xf>
    <xf numFmtId="0" fontId="85" fillId="0" borderId="0" xfId="85" applyFont="1" applyFill="1" applyBorder="1" applyAlignment="1">
      <alignment horizontal="left"/>
      <protection/>
    </xf>
    <xf numFmtId="37" fontId="69" fillId="0" borderId="0" xfId="87" applyNumberFormat="1" applyFont="1" applyFill="1">
      <alignment/>
      <protection/>
    </xf>
    <xf numFmtId="37" fontId="69" fillId="0" borderId="0" xfId="87" applyNumberFormat="1" applyFont="1" applyFill="1" applyBorder="1">
      <alignment/>
      <protection/>
    </xf>
    <xf numFmtId="37" fontId="89" fillId="0" borderId="0" xfId="87" applyNumberFormat="1" applyFont="1" applyFill="1" applyBorder="1">
      <alignment/>
      <protection/>
    </xf>
    <xf numFmtId="37" fontId="85" fillId="0" borderId="0" xfId="87" applyNumberFormat="1" applyFont="1" applyFill="1">
      <alignment/>
      <protection/>
    </xf>
    <xf numFmtId="37" fontId="90" fillId="0" borderId="0" xfId="87" applyNumberFormat="1" applyFont="1" applyFill="1" applyAlignment="1">
      <alignment horizontal="center" vertical="center"/>
      <protection/>
    </xf>
    <xf numFmtId="37" fontId="91" fillId="0" borderId="0" xfId="55" applyNumberFormat="1" applyFont="1" applyFill="1" applyBorder="1" applyAlignment="1" quotePrefix="1">
      <alignment horizontal="center"/>
    </xf>
    <xf numFmtId="5" fontId="69" fillId="0" borderId="0" xfId="87" applyNumberFormat="1" applyFont="1" applyFill="1">
      <alignment/>
      <protection/>
    </xf>
    <xf numFmtId="37" fontId="69" fillId="0" borderId="0" xfId="55" applyNumberFormat="1" applyFont="1" applyFill="1" applyAlignment="1">
      <alignment/>
    </xf>
    <xf numFmtId="37" fontId="92" fillId="0" borderId="0" xfId="87" applyNumberFormat="1" applyFont="1" applyFill="1" applyBorder="1">
      <alignment/>
      <protection/>
    </xf>
    <xf numFmtId="37" fontId="89" fillId="0" borderId="0" xfId="55" applyNumberFormat="1" applyFont="1" applyFill="1" applyBorder="1" applyAlignment="1">
      <alignment/>
    </xf>
    <xf numFmtId="5" fontId="83" fillId="0" borderId="0" xfId="87" applyNumberFormat="1" applyFont="1" applyFill="1">
      <alignment/>
      <protection/>
    </xf>
    <xf numFmtId="5" fontId="83" fillId="0" borderId="0" xfId="55" applyNumberFormat="1" applyFont="1" applyFill="1" applyBorder="1" applyAlignment="1">
      <alignment/>
    </xf>
    <xf numFmtId="37" fontId="83" fillId="0" borderId="0" xfId="87" applyNumberFormat="1" applyFont="1" applyFill="1">
      <alignment/>
      <protection/>
    </xf>
    <xf numFmtId="37" fontId="83" fillId="0" borderId="0" xfId="55" applyNumberFormat="1" applyFont="1" applyFill="1" applyBorder="1" applyAlignment="1">
      <alignment/>
    </xf>
    <xf numFmtId="37" fontId="93" fillId="0" borderId="0" xfId="55" applyNumberFormat="1" applyFont="1" applyFill="1" applyBorder="1" applyAlignment="1">
      <alignment/>
    </xf>
    <xf numFmtId="37" fontId="83" fillId="0" borderId="20" xfId="87" applyNumberFormat="1" applyFont="1" applyFill="1" applyBorder="1">
      <alignment/>
      <protection/>
    </xf>
    <xf numFmtId="5" fontId="83" fillId="0" borderId="20" xfId="55" applyNumberFormat="1" applyFont="1" applyFill="1" applyBorder="1" applyAlignment="1">
      <alignment/>
    </xf>
    <xf numFmtId="37" fontId="83" fillId="0" borderId="0" xfId="87" applyNumberFormat="1" applyFont="1" applyFill="1" applyBorder="1">
      <alignment/>
      <protection/>
    </xf>
    <xf numFmtId="37" fontId="83" fillId="0" borderId="21" xfId="87" applyNumberFormat="1" applyFont="1" applyFill="1" applyBorder="1">
      <alignment/>
      <protection/>
    </xf>
    <xf numFmtId="37" fontId="83" fillId="0" borderId="0" xfId="55" applyNumberFormat="1" applyFont="1" applyFill="1" applyAlignment="1">
      <alignment/>
    </xf>
    <xf numFmtId="37" fontId="0" fillId="0" borderId="0" xfId="85" applyNumberFormat="1" applyFont="1" applyFill="1" applyBorder="1">
      <alignment/>
      <protection/>
    </xf>
    <xf numFmtId="37" fontId="0" fillId="0" borderId="18" xfId="85" applyNumberFormat="1" applyFont="1" applyFill="1" applyBorder="1">
      <alignment/>
      <protection/>
    </xf>
    <xf numFmtId="5" fontId="0" fillId="0" borderId="0" xfId="85" applyNumberFormat="1" applyFont="1" applyFill="1" applyBorder="1">
      <alignment/>
      <protection/>
    </xf>
    <xf numFmtId="0" fontId="4" fillId="0" borderId="14" xfId="85" applyFont="1" applyFill="1" applyBorder="1" applyAlignment="1">
      <alignment horizontal="center" vertical="center" wrapText="1"/>
      <protection/>
    </xf>
    <xf numFmtId="37" fontId="85" fillId="0" borderId="0" xfId="87" applyNumberFormat="1" applyFont="1" applyFill="1" applyBorder="1">
      <alignment/>
      <protection/>
    </xf>
    <xf numFmtId="5" fontId="83" fillId="0" borderId="0" xfId="87" applyNumberFormat="1" applyFont="1" applyFill="1" applyBorder="1">
      <alignment/>
      <protection/>
    </xf>
    <xf numFmtId="37" fontId="83" fillId="0" borderId="22" xfId="87" applyNumberFormat="1" applyFont="1" applyFill="1" applyBorder="1">
      <alignment/>
      <protection/>
    </xf>
    <xf numFmtId="0" fontId="83" fillId="0" borderId="10" xfId="75" applyFont="1" applyFill="1" applyBorder="1" applyAlignment="1" quotePrefix="1">
      <alignment horizontal="centerContinuous"/>
      <protection/>
    </xf>
    <xf numFmtId="0" fontId="83" fillId="0" borderId="23" xfId="75" applyFont="1" applyFill="1" applyBorder="1" applyAlignment="1" quotePrefix="1">
      <alignment horizontal="centerContinuous"/>
      <protection/>
    </xf>
    <xf numFmtId="0" fontId="0" fillId="0" borderId="0" xfId="85" applyFont="1" applyFill="1" applyBorder="1">
      <alignment/>
      <protection/>
    </xf>
    <xf numFmtId="0" fontId="88" fillId="0" borderId="18" xfId="85" applyFont="1" applyFill="1" applyBorder="1" applyAlignment="1">
      <alignment horizontal="center" vertical="center" wrapText="1"/>
      <protection/>
    </xf>
    <xf numFmtId="5" fontId="0" fillId="0" borderId="18" xfId="85" applyNumberFormat="1" applyFont="1" applyFill="1" applyBorder="1">
      <alignment/>
      <protection/>
    </xf>
    <xf numFmtId="5" fontId="2" fillId="0" borderId="24" xfId="85" applyNumberFormat="1" applyFont="1" applyFill="1" applyBorder="1">
      <alignment/>
      <protection/>
    </xf>
    <xf numFmtId="0" fontId="4" fillId="0" borderId="19" xfId="85" applyFont="1" applyFill="1" applyBorder="1" applyAlignment="1">
      <alignment horizontal="center" vertical="center" wrapText="1"/>
      <protection/>
    </xf>
    <xf numFmtId="37" fontId="94" fillId="0" borderId="0" xfId="87" applyNumberFormat="1" applyFont="1" applyFill="1" applyBorder="1" applyAlignment="1">
      <alignment horizontal="center" vertical="center"/>
      <protection/>
    </xf>
    <xf numFmtId="169" fontId="0" fillId="0" borderId="0" xfId="0" applyNumberFormat="1" applyFont="1" applyFill="1" applyAlignment="1">
      <alignment/>
    </xf>
    <xf numFmtId="168" fontId="83" fillId="0" borderId="0" xfId="99" applyNumberFormat="1" applyFont="1" applyFill="1" applyBorder="1" applyAlignment="1">
      <alignment/>
    </xf>
    <xf numFmtId="0" fontId="95" fillId="0" borderId="0" xfId="75" applyFont="1" applyFill="1" applyBorder="1">
      <alignment/>
      <protection/>
    </xf>
    <xf numFmtId="0" fontId="95" fillId="0" borderId="0" xfId="75" applyFont="1" applyFill="1" applyBorder="1" applyAlignment="1">
      <alignment horizontal="right"/>
      <protection/>
    </xf>
    <xf numFmtId="37" fontId="95" fillId="0" borderId="0" xfId="75" applyNumberFormat="1" applyFont="1" applyFill="1" applyBorder="1">
      <alignment/>
      <protection/>
    </xf>
    <xf numFmtId="165" fontId="95" fillId="0" borderId="0" xfId="75" applyNumberFormat="1" applyFont="1" applyFill="1" applyBorder="1" applyAlignment="1">
      <alignment horizontal="right"/>
      <protection/>
    </xf>
    <xf numFmtId="6" fontId="95" fillId="0" borderId="0" xfId="75" applyNumberFormat="1" applyFont="1" applyFill="1" applyBorder="1">
      <alignment/>
      <protection/>
    </xf>
    <xf numFmtId="0" fontId="83" fillId="0" borderId="0" xfId="85" applyFont="1" applyFill="1" applyBorder="1" applyAlignment="1">
      <alignment horizontal="center" vertical="center" wrapText="1"/>
      <protection/>
    </xf>
    <xf numFmtId="0" fontId="83" fillId="0" borderId="0" xfId="85" applyFont="1" applyFill="1" applyBorder="1" applyAlignment="1">
      <alignment horizontal="center" vertical="top" wrapText="1"/>
      <protection/>
    </xf>
    <xf numFmtId="0" fontId="7" fillId="0" borderId="25" xfId="85" applyFont="1" applyFill="1" applyBorder="1">
      <alignment/>
      <protection/>
    </xf>
    <xf numFmtId="37" fontId="0" fillId="0" borderId="20" xfId="85" applyNumberFormat="1" applyFont="1" applyFill="1" applyBorder="1">
      <alignment/>
      <protection/>
    </xf>
    <xf numFmtId="37" fontId="2" fillId="0" borderId="21" xfId="85" applyNumberFormat="1" applyFont="1" applyFill="1" applyBorder="1">
      <alignment/>
      <protection/>
    </xf>
    <xf numFmtId="37" fontId="3" fillId="0" borderId="12" xfId="75" applyNumberFormat="1" applyFont="1" applyFill="1" applyBorder="1" applyAlignment="1">
      <alignment horizontal="center" vertical="center"/>
      <protection/>
    </xf>
    <xf numFmtId="5" fontId="2" fillId="0" borderId="26" xfId="85" applyNumberFormat="1" applyFont="1" applyFill="1" applyBorder="1">
      <alignment/>
      <protection/>
    </xf>
    <xf numFmtId="5" fontId="2" fillId="0" borderId="18" xfId="85" applyNumberFormat="1" applyFont="1" applyFill="1" applyBorder="1">
      <alignment/>
      <protection/>
    </xf>
    <xf numFmtId="0" fontId="0" fillId="0" borderId="18" xfId="85" applyFont="1" applyFill="1" applyBorder="1">
      <alignment/>
      <protection/>
    </xf>
    <xf numFmtId="0" fontId="7" fillId="0" borderId="14" xfId="85" applyFont="1" applyFill="1" applyBorder="1" applyAlignment="1">
      <alignment horizontal="center" wrapText="1"/>
      <protection/>
    </xf>
    <xf numFmtId="5" fontId="83" fillId="0" borderId="20" xfId="87" applyNumberFormat="1" applyFont="1" applyFill="1" applyBorder="1">
      <alignment/>
      <protection/>
    </xf>
    <xf numFmtId="37" fontId="83" fillId="0" borderId="0" xfId="75" applyNumberFormat="1" applyFont="1" applyFill="1" applyAlignment="1">
      <alignment/>
      <protection/>
    </xf>
    <xf numFmtId="0" fontId="7" fillId="0" borderId="0" xfId="85" applyFont="1" applyFill="1" applyBorder="1" applyAlignment="1">
      <alignment horizontal="center" wrapText="1"/>
      <protection/>
    </xf>
    <xf numFmtId="5" fontId="83" fillId="0" borderId="20" xfId="55" applyNumberFormat="1" applyFont="1" applyFill="1" applyBorder="1" applyAlignment="1">
      <alignment horizontal="right"/>
    </xf>
    <xf numFmtId="165" fontId="83" fillId="0" borderId="21" xfId="55" applyNumberFormat="1" applyFont="1" applyFill="1" applyBorder="1" applyAlignment="1">
      <alignment horizontal="right"/>
    </xf>
    <xf numFmtId="10" fontId="95" fillId="0" borderId="0" xfId="99" applyNumberFormat="1" applyFont="1" applyFill="1" applyBorder="1" applyAlignment="1">
      <alignment/>
    </xf>
    <xf numFmtId="10" fontId="83" fillId="0" borderId="0" xfId="99" applyNumberFormat="1" applyFont="1" applyFill="1" applyBorder="1" applyAlignment="1">
      <alignment/>
    </xf>
    <xf numFmtId="37" fontId="94" fillId="33" borderId="14" xfId="0" applyNumberFormat="1" applyFont="1" applyFill="1" applyBorder="1" applyAlignment="1">
      <alignment/>
    </xf>
    <xf numFmtId="37" fontId="94" fillId="33" borderId="13" xfId="0" applyNumberFormat="1" applyFont="1" applyFill="1" applyBorder="1" applyAlignment="1">
      <alignment/>
    </xf>
    <xf numFmtId="5" fontId="94" fillId="33" borderId="27" xfId="0" applyNumberFormat="1" applyFont="1" applyFill="1" applyBorder="1" applyAlignment="1">
      <alignment/>
    </xf>
    <xf numFmtId="5" fontId="94" fillId="33" borderId="28" xfId="0" applyNumberFormat="1" applyFont="1" applyFill="1" applyBorder="1" applyAlignment="1">
      <alignment/>
    </xf>
    <xf numFmtId="37" fontId="83" fillId="0" borderId="0" xfId="0" applyNumberFormat="1" applyFont="1" applyFill="1" applyAlignment="1">
      <alignment horizontal="right" vertical="top" wrapText="1"/>
    </xf>
    <xf numFmtId="37" fontId="83" fillId="0" borderId="0" xfId="0" applyNumberFormat="1" applyFont="1" applyFill="1" applyBorder="1" applyAlignment="1">
      <alignment/>
    </xf>
    <xf numFmtId="37" fontId="96" fillId="0" borderId="0" xfId="0" applyNumberFormat="1" applyFont="1" applyFill="1" applyAlignment="1" quotePrefix="1">
      <alignment horizontal="right"/>
    </xf>
    <xf numFmtId="37" fontId="89" fillId="0" borderId="0" xfId="0" applyNumberFormat="1" applyFont="1" applyFill="1" applyAlignment="1">
      <alignment/>
    </xf>
    <xf numFmtId="37" fontId="97" fillId="0" borderId="0" xfId="0" applyNumberFormat="1" applyFont="1" applyFill="1" applyAlignment="1">
      <alignment horizontal="right"/>
    </xf>
    <xf numFmtId="37" fontId="83" fillId="0" borderId="0" xfId="0" applyNumberFormat="1" applyFont="1" applyFill="1" applyAlignment="1">
      <alignment vertical="center"/>
    </xf>
    <xf numFmtId="37" fontId="98" fillId="0" borderId="12" xfId="0" applyNumberFormat="1" applyFont="1" applyFill="1" applyBorder="1" applyAlignment="1">
      <alignment vertical="center"/>
    </xf>
    <xf numFmtId="37" fontId="98" fillId="0" borderId="12" xfId="0" applyNumberFormat="1" applyFont="1" applyFill="1" applyBorder="1" applyAlignment="1">
      <alignment horizontal="center" vertical="center"/>
    </xf>
    <xf numFmtId="37" fontId="83" fillId="0" borderId="0" xfId="0" applyNumberFormat="1" applyFont="1" applyFill="1" applyBorder="1" applyAlignment="1">
      <alignment vertical="center"/>
    </xf>
    <xf numFmtId="37" fontId="83" fillId="0" borderId="12" xfId="0" applyNumberFormat="1" applyFont="1" applyFill="1" applyBorder="1" applyAlignment="1">
      <alignment vertical="center"/>
    </xf>
    <xf numFmtId="37" fontId="98" fillId="0" borderId="0" xfId="0" applyNumberFormat="1" applyFont="1" applyFill="1" applyBorder="1" applyAlignment="1">
      <alignment horizontal="center" vertical="center"/>
    </xf>
    <xf numFmtId="37" fontId="85" fillId="0" borderId="0" xfId="0" applyNumberFormat="1" applyFont="1" applyFill="1" applyAlignment="1">
      <alignment vertical="center"/>
    </xf>
    <xf numFmtId="37" fontId="85" fillId="0" borderId="0" xfId="0" applyNumberFormat="1" applyFont="1" applyFill="1" applyBorder="1" applyAlignment="1">
      <alignment vertical="center"/>
    </xf>
    <xf numFmtId="37" fontId="84" fillId="0" borderId="0" xfId="0" applyNumberFormat="1" applyFont="1" applyFill="1" applyBorder="1" applyAlignment="1">
      <alignment horizontal="center" vertical="center" wrapText="1"/>
    </xf>
    <xf numFmtId="37" fontId="85" fillId="0" borderId="13" xfId="0" applyNumberFormat="1" applyFont="1" applyFill="1" applyBorder="1" applyAlignment="1">
      <alignment vertical="center"/>
    </xf>
    <xf numFmtId="37" fontId="85" fillId="0" borderId="0" xfId="0" applyNumberFormat="1" applyFont="1" applyFill="1" applyAlignment="1">
      <alignment/>
    </xf>
    <xf numFmtId="37" fontId="84" fillId="0" borderId="0" xfId="0" applyNumberFormat="1" applyFont="1" applyFill="1" applyBorder="1" applyAlignment="1">
      <alignment horizontal="center"/>
    </xf>
    <xf numFmtId="37" fontId="85" fillId="0" borderId="0" xfId="0" applyNumberFormat="1" applyFont="1" applyFill="1" applyBorder="1" applyAlignment="1">
      <alignment/>
    </xf>
    <xf numFmtId="37" fontId="84" fillId="0" borderId="0" xfId="0" applyNumberFormat="1" applyFont="1" applyFill="1" applyBorder="1" applyAlignment="1">
      <alignment/>
    </xf>
    <xf numFmtId="37" fontId="84" fillId="0" borderId="20" xfId="0" applyNumberFormat="1" applyFont="1" applyFill="1" applyBorder="1" applyAlignment="1">
      <alignment horizontal="center"/>
    </xf>
    <xf numFmtId="37" fontId="91" fillId="0" borderId="0" xfId="0" applyNumberFormat="1" applyFont="1" applyFill="1" applyBorder="1" applyAlignment="1">
      <alignment horizontal="center" wrapText="1"/>
    </xf>
    <xf numFmtId="37" fontId="85" fillId="0" borderId="0" xfId="0" applyNumberFormat="1" applyFont="1" applyFill="1" applyAlignment="1">
      <alignment horizontal="center" wrapText="1"/>
    </xf>
    <xf numFmtId="37" fontId="85" fillId="0" borderId="0" xfId="0" applyNumberFormat="1" applyFont="1" applyFill="1" applyBorder="1" applyAlignment="1">
      <alignment horizontal="center" wrapText="1"/>
    </xf>
    <xf numFmtId="37" fontId="94" fillId="33" borderId="27" xfId="0" applyNumberFormat="1" applyFont="1" applyFill="1" applyBorder="1" applyAlignment="1">
      <alignment horizontal="center" wrapText="1"/>
    </xf>
    <xf numFmtId="37" fontId="94" fillId="33" borderId="28" xfId="0" applyNumberFormat="1" applyFont="1" applyFill="1" applyBorder="1" applyAlignment="1">
      <alignment horizontal="center" wrapText="1"/>
    </xf>
    <xf numFmtId="37" fontId="94" fillId="0" borderId="0" xfId="0" applyNumberFormat="1" applyFont="1" applyFill="1" applyAlignment="1">
      <alignment horizontal="center" vertical="center" wrapText="1"/>
    </xf>
    <xf numFmtId="37" fontId="99" fillId="0" borderId="0" xfId="0" applyNumberFormat="1" applyFont="1" applyFill="1" applyBorder="1" applyAlignment="1">
      <alignment horizontal="center" vertical="center" wrapText="1"/>
    </xf>
    <xf numFmtId="37" fontId="94" fillId="33" borderId="13" xfId="0" applyNumberFormat="1" applyFont="1" applyFill="1" applyBorder="1" applyAlignment="1">
      <alignment horizontal="center" vertical="center" wrapText="1"/>
    </xf>
    <xf numFmtId="37" fontId="94" fillId="33" borderId="14" xfId="0" applyNumberFormat="1" applyFont="1" applyFill="1" applyBorder="1" applyAlignment="1">
      <alignment horizontal="center" vertical="center" wrapText="1"/>
    </xf>
    <xf numFmtId="5" fontId="83" fillId="0" borderId="0" xfId="0" applyNumberFormat="1" applyFont="1" applyFill="1" applyAlignment="1">
      <alignment/>
    </xf>
    <xf numFmtId="5" fontId="83" fillId="0" borderId="0" xfId="0" applyNumberFormat="1" applyFont="1" applyFill="1" applyBorder="1" applyAlignment="1">
      <alignment/>
    </xf>
    <xf numFmtId="5" fontId="83" fillId="0" borderId="0" xfId="75" applyNumberFormat="1" applyFont="1" applyFill="1">
      <alignment/>
      <protection/>
    </xf>
    <xf numFmtId="5" fontId="94" fillId="33" borderId="14" xfId="0" applyNumberFormat="1" applyFont="1" applyFill="1" applyBorder="1" applyAlignment="1">
      <alignment/>
    </xf>
    <xf numFmtId="37" fontId="83" fillId="0" borderId="0" xfId="75" applyNumberFormat="1" applyFont="1" applyFill="1">
      <alignment/>
      <protection/>
    </xf>
    <xf numFmtId="5" fontId="83" fillId="0" borderId="20" xfId="0" applyNumberFormat="1" applyFont="1" applyFill="1" applyBorder="1" applyAlignment="1">
      <alignment/>
    </xf>
    <xf numFmtId="37" fontId="83" fillId="0" borderId="0" xfId="0" applyNumberFormat="1" applyFont="1" applyFill="1" applyAlignment="1">
      <alignment horizontal="right"/>
    </xf>
    <xf numFmtId="37" fontId="83" fillId="0" borderId="0" xfId="0" applyNumberFormat="1" applyFont="1" applyFill="1" applyAlignment="1" applyProtection="1">
      <alignment/>
      <protection locked="0"/>
    </xf>
    <xf numFmtId="37" fontId="100" fillId="0" borderId="0" xfId="0" applyNumberFormat="1" applyFont="1" applyFill="1" applyAlignment="1">
      <alignment horizontal="left" vertical="top"/>
    </xf>
    <xf numFmtId="37" fontId="100" fillId="0" borderId="0" xfId="0" applyNumberFormat="1" applyFont="1" applyFill="1" applyAlignment="1">
      <alignment/>
    </xf>
    <xf numFmtId="37" fontId="101" fillId="0" borderId="0" xfId="0" applyNumberFormat="1" applyFont="1" applyFill="1" applyAlignment="1">
      <alignment vertical="top"/>
    </xf>
    <xf numFmtId="5" fontId="83" fillId="0" borderId="21" xfId="0" applyNumberFormat="1" applyFont="1" applyFill="1" applyBorder="1" applyAlignment="1">
      <alignment/>
    </xf>
    <xf numFmtId="37" fontId="102" fillId="0" borderId="0" xfId="0" applyNumberFormat="1" applyFont="1" applyFill="1" applyAlignment="1">
      <alignment horizontal="left"/>
    </xf>
    <xf numFmtId="37" fontId="83" fillId="0" borderId="0" xfId="0" applyNumberFormat="1" applyFont="1" applyFill="1" applyAlignment="1">
      <alignment vertical="top"/>
    </xf>
    <xf numFmtId="37" fontId="83" fillId="0" borderId="0" xfId="0" applyNumberFormat="1" applyFont="1" applyFill="1" applyBorder="1" applyAlignment="1">
      <alignment vertical="top"/>
    </xf>
    <xf numFmtId="37" fontId="83" fillId="0" borderId="0" xfId="0" applyNumberFormat="1" applyFont="1" applyFill="1" applyAlignment="1">
      <alignment horizontal="center" vertical="top"/>
    </xf>
    <xf numFmtId="37" fontId="93" fillId="0" borderId="0" xfId="0" applyNumberFormat="1" applyFont="1" applyFill="1" applyBorder="1" applyAlignment="1">
      <alignment vertical="top"/>
    </xf>
    <xf numFmtId="37" fontId="93" fillId="0" borderId="0" xfId="0" applyNumberFormat="1" applyFont="1" applyFill="1" applyAlignment="1">
      <alignment vertical="top"/>
    </xf>
    <xf numFmtId="164" fontId="83" fillId="0" borderId="0" xfId="99" applyNumberFormat="1" applyFont="1" applyFill="1" applyAlignment="1">
      <alignment/>
    </xf>
    <xf numFmtId="37" fontId="94" fillId="0" borderId="0" xfId="0" applyNumberFormat="1" applyFont="1" applyFill="1" applyBorder="1" applyAlignment="1" quotePrefix="1">
      <alignment horizontal="center" vertical="center" wrapText="1"/>
    </xf>
    <xf numFmtId="37" fontId="4" fillId="0" borderId="0" xfId="75" applyNumberFormat="1" applyFont="1" applyFill="1" applyBorder="1" applyAlignment="1">
      <alignment horizontal="center" wrapText="1"/>
      <protection/>
    </xf>
    <xf numFmtId="37" fontId="4" fillId="0" borderId="0" xfId="75" applyNumberFormat="1" applyFont="1" applyFill="1" applyBorder="1" applyAlignment="1">
      <alignment horizontal="center" vertical="center" wrapText="1"/>
      <protection/>
    </xf>
    <xf numFmtId="0" fontId="4" fillId="0" borderId="0" xfId="85" applyFont="1" applyFill="1" applyBorder="1" applyAlignment="1">
      <alignment horizontal="center" vertical="center" wrapText="1"/>
      <protection/>
    </xf>
    <xf numFmtId="0" fontId="83" fillId="0" borderId="13" xfId="85" applyFont="1" applyFill="1" applyBorder="1" applyAlignment="1">
      <alignment horizontal="center" vertical="top" wrapText="1"/>
      <protection/>
    </xf>
    <xf numFmtId="0" fontId="7" fillId="0" borderId="13" xfId="85" applyFont="1" applyFill="1" applyBorder="1" applyAlignment="1">
      <alignment horizontal="center" wrapText="1"/>
      <protection/>
    </xf>
    <xf numFmtId="5" fontId="0" fillId="0" borderId="13" xfId="85" applyNumberFormat="1" applyFont="1" applyFill="1" applyBorder="1">
      <alignment/>
      <protection/>
    </xf>
    <xf numFmtId="37" fontId="0" fillId="0" borderId="13" xfId="85" applyNumberFormat="1" applyFont="1" applyFill="1" applyBorder="1">
      <alignment/>
      <protection/>
    </xf>
    <xf numFmtId="0" fontId="88" fillId="0" borderId="19" xfId="85" applyFont="1" applyFill="1" applyBorder="1" applyAlignment="1">
      <alignment horizontal="center" vertical="center" wrapText="1"/>
      <protection/>
    </xf>
    <xf numFmtId="5" fontId="0" fillId="0" borderId="0" xfId="85" applyNumberFormat="1" applyFont="1" applyFill="1">
      <alignment/>
      <protection/>
    </xf>
    <xf numFmtId="37" fontId="84" fillId="0" borderId="0" xfId="87" applyNumberFormat="1" applyFont="1" applyFill="1" applyAlignment="1">
      <alignment vertical="center" wrapText="1"/>
      <protection/>
    </xf>
    <xf numFmtId="37" fontId="100" fillId="0" borderId="0" xfId="55" applyNumberFormat="1" applyFont="1" applyFill="1" applyBorder="1" applyAlignment="1">
      <alignment horizontal="left"/>
    </xf>
    <xf numFmtId="37" fontId="94" fillId="0" borderId="0" xfId="0" applyNumberFormat="1" applyFont="1" applyFill="1" applyBorder="1" applyAlignment="1">
      <alignment horizontal="center" vertical="center"/>
    </xf>
    <xf numFmtId="0" fontId="6" fillId="0" borderId="29" xfId="85" applyFont="1" applyFill="1" applyBorder="1" applyAlignment="1">
      <alignment horizontal="center" wrapText="1"/>
      <protection/>
    </xf>
    <xf numFmtId="0" fontId="83" fillId="0" borderId="14" xfId="85" applyFont="1" applyFill="1" applyBorder="1" applyAlignment="1">
      <alignment horizontal="center" vertical="top" wrapText="1"/>
      <protection/>
    </xf>
    <xf numFmtId="0" fontId="4" fillId="0" borderId="13" xfId="85" applyFont="1" applyFill="1" applyBorder="1" applyAlignment="1">
      <alignment horizontal="center" vertical="center" wrapText="1"/>
      <protection/>
    </xf>
    <xf numFmtId="0" fontId="0" fillId="0" borderId="13" xfId="85" applyFont="1" applyFill="1" applyBorder="1">
      <alignment/>
      <protection/>
    </xf>
    <xf numFmtId="5" fontId="0" fillId="0" borderId="27" xfId="85" applyNumberFormat="1" applyFont="1" applyFill="1" applyBorder="1">
      <alignment/>
      <protection/>
    </xf>
    <xf numFmtId="37" fontId="0" fillId="0" borderId="15" xfId="85" applyNumberFormat="1" applyFont="1" applyFill="1" applyBorder="1">
      <alignment/>
      <protection/>
    </xf>
    <xf numFmtId="5" fontId="2" fillId="0" borderId="30" xfId="85" applyNumberFormat="1" applyFont="1" applyFill="1" applyBorder="1">
      <alignment/>
      <protection/>
    </xf>
    <xf numFmtId="0" fontId="83" fillId="0" borderId="31" xfId="75" applyFont="1" applyFill="1" applyBorder="1" applyAlignment="1">
      <alignment horizontal="center" wrapText="1"/>
      <protection/>
    </xf>
    <xf numFmtId="0" fontId="7" fillId="0" borderId="0" xfId="86" applyFont="1" applyFill="1">
      <alignment/>
      <protection/>
    </xf>
    <xf numFmtId="5" fontId="95" fillId="0" borderId="0" xfId="75" applyNumberFormat="1" applyFont="1" applyFill="1" applyBorder="1" applyAlignment="1">
      <alignment horizontal="right"/>
      <protection/>
    </xf>
    <xf numFmtId="37" fontId="95" fillId="0" borderId="0" xfId="75" applyNumberFormat="1" applyFont="1" applyFill="1" applyBorder="1" applyAlignment="1">
      <alignment horizontal="right"/>
      <protection/>
    </xf>
    <xf numFmtId="5" fontId="95" fillId="0" borderId="0" xfId="75" applyNumberFormat="1" applyFont="1" applyFill="1" applyBorder="1" applyAlignment="1">
      <alignment horizontal="left"/>
      <protection/>
    </xf>
    <xf numFmtId="37" fontId="95" fillId="0" borderId="0" xfId="75" applyNumberFormat="1" applyFont="1" applyFill="1" applyBorder="1" applyAlignment="1">
      <alignment horizontal="left"/>
      <protection/>
    </xf>
    <xf numFmtId="5" fontId="95" fillId="0" borderId="0" xfId="85" applyNumberFormat="1" applyFont="1" applyFill="1" applyBorder="1">
      <alignment/>
      <protection/>
    </xf>
    <xf numFmtId="37" fontId="95" fillId="0" borderId="0" xfId="85" applyNumberFormat="1" applyFont="1" applyFill="1" applyBorder="1">
      <alignment/>
      <protection/>
    </xf>
    <xf numFmtId="37" fontId="83" fillId="0" borderId="0" xfId="0" applyNumberFormat="1" applyFont="1" applyFill="1" applyAlignment="1">
      <alignment horizontal="left" vertical="top"/>
    </xf>
    <xf numFmtId="0" fontId="103" fillId="0" borderId="0" xfId="85" applyFont="1" applyFill="1" applyBorder="1">
      <alignment/>
      <protection/>
    </xf>
    <xf numFmtId="41" fontId="83" fillId="0" borderId="0" xfId="0" applyNumberFormat="1" applyFont="1" applyFill="1" applyBorder="1" applyAlignment="1">
      <alignment/>
    </xf>
    <xf numFmtId="37" fontId="83" fillId="0" borderId="0" xfId="85" applyNumberFormat="1" applyFont="1" applyFill="1" applyBorder="1">
      <alignment/>
      <protection/>
    </xf>
    <xf numFmtId="166" fontId="83" fillId="0" borderId="0" xfId="43" applyNumberFormat="1" applyFont="1" applyFill="1" applyAlignment="1">
      <alignment/>
    </xf>
    <xf numFmtId="41" fontId="0" fillId="0" borderId="20" xfId="85" applyNumberFormat="1" applyFont="1" applyFill="1" applyBorder="1">
      <alignment/>
      <protection/>
    </xf>
    <xf numFmtId="37" fontId="0" fillId="0" borderId="0" xfId="85" applyNumberFormat="1" applyFont="1" applyFill="1">
      <alignment/>
      <protection/>
    </xf>
    <xf numFmtId="41" fontId="2" fillId="0" borderId="21" xfId="85" applyNumberFormat="1" applyFont="1" applyFill="1" applyBorder="1">
      <alignment/>
      <protection/>
    </xf>
    <xf numFmtId="0" fontId="83" fillId="0" borderId="13" xfId="85" applyFont="1" applyFill="1" applyBorder="1" applyAlignment="1">
      <alignment horizontal="center" vertical="center" wrapText="1"/>
      <protection/>
    </xf>
    <xf numFmtId="5" fontId="95" fillId="0" borderId="13" xfId="85" applyNumberFormat="1" applyFont="1" applyFill="1" applyBorder="1">
      <alignment/>
      <protection/>
    </xf>
    <xf numFmtId="5" fontId="83" fillId="0" borderId="14" xfId="85" applyNumberFormat="1" applyFont="1" applyFill="1" applyBorder="1">
      <alignment/>
      <protection/>
    </xf>
    <xf numFmtId="37" fontId="95" fillId="0" borderId="13" xfId="85" applyNumberFormat="1" applyFont="1" applyFill="1" applyBorder="1">
      <alignment/>
      <protection/>
    </xf>
    <xf numFmtId="37" fontId="83" fillId="0" borderId="14" xfId="85" applyNumberFormat="1" applyFont="1" applyFill="1" applyBorder="1">
      <alignment/>
      <protection/>
    </xf>
    <xf numFmtId="0" fontId="83" fillId="0" borderId="14" xfId="85" applyFont="1" applyFill="1" applyBorder="1">
      <alignment/>
      <protection/>
    </xf>
    <xf numFmtId="5" fontId="83" fillId="0" borderId="28" xfId="85" applyNumberFormat="1" applyFont="1" applyFill="1" applyBorder="1">
      <alignment/>
      <protection/>
    </xf>
    <xf numFmtId="5" fontId="98" fillId="0" borderId="32" xfId="85" applyNumberFormat="1" applyFont="1" applyFill="1" applyBorder="1">
      <alignment/>
      <protection/>
    </xf>
    <xf numFmtId="37" fontId="104" fillId="0" borderId="0" xfId="0" applyNumberFormat="1" applyFont="1" applyFill="1" applyBorder="1" applyAlignment="1">
      <alignment horizontal="left" wrapText="1"/>
    </xf>
    <xf numFmtId="5" fontId="94" fillId="33" borderId="13" xfId="0" applyNumberFormat="1" applyFont="1" applyFill="1" applyBorder="1" applyAlignment="1">
      <alignment/>
    </xf>
    <xf numFmtId="37" fontId="83" fillId="0" borderId="0" xfId="55" applyNumberFormat="1" applyFont="1" applyFill="1" applyBorder="1" applyAlignment="1">
      <alignment/>
    </xf>
    <xf numFmtId="37" fontId="83" fillId="0" borderId="0" xfId="0" applyNumberFormat="1" applyFont="1" applyFill="1" applyBorder="1" applyAlignment="1">
      <alignment/>
    </xf>
    <xf numFmtId="37" fontId="69" fillId="0" borderId="0" xfId="0" applyNumberFormat="1" applyFont="1" applyFill="1" applyBorder="1" applyAlignment="1">
      <alignment horizontal="center"/>
    </xf>
    <xf numFmtId="5" fontId="83" fillId="0" borderId="0" xfId="0" applyNumberFormat="1" applyFont="1" applyFill="1" applyBorder="1" applyAlignment="1">
      <alignment/>
    </xf>
    <xf numFmtId="37" fontId="83" fillId="0" borderId="0" xfId="74" applyNumberFormat="1" applyFont="1" applyFill="1" applyAlignment="1">
      <alignment/>
      <protection/>
    </xf>
    <xf numFmtId="37" fontId="83" fillId="0" borderId="0" xfId="0" applyNumberFormat="1" applyFont="1" applyFill="1" applyAlignment="1">
      <alignment/>
    </xf>
    <xf numFmtId="5" fontId="83" fillId="0" borderId="20" xfId="0" applyNumberFormat="1" applyFont="1" applyFill="1" applyBorder="1" applyAlignment="1">
      <alignment/>
    </xf>
    <xf numFmtId="38" fontId="83" fillId="0" borderId="0" xfId="0" applyNumberFormat="1" applyFont="1" applyAlignment="1">
      <alignment/>
    </xf>
    <xf numFmtId="5" fontId="83" fillId="0" borderId="21" xfId="0" applyNumberFormat="1" applyFont="1" applyFill="1" applyBorder="1" applyAlignment="1">
      <alignment/>
    </xf>
    <xf numFmtId="0" fontId="82" fillId="0" borderId="0" xfId="85" applyFont="1" applyFill="1" applyBorder="1">
      <alignment/>
      <protection/>
    </xf>
    <xf numFmtId="5" fontId="83" fillId="0" borderId="27" xfId="85" applyNumberFormat="1" applyFont="1" applyFill="1" applyBorder="1">
      <alignment/>
      <protection/>
    </xf>
    <xf numFmtId="5" fontId="83" fillId="0" borderId="20" xfId="85" applyNumberFormat="1" applyFont="1" applyFill="1" applyBorder="1">
      <alignment/>
      <protection/>
    </xf>
    <xf numFmtId="37" fontId="83" fillId="0" borderId="13" xfId="85" applyNumberFormat="1" applyFont="1" applyFill="1" applyBorder="1">
      <alignment/>
      <protection/>
    </xf>
    <xf numFmtId="5" fontId="98" fillId="0" borderId="30" xfId="85" applyNumberFormat="1" applyFont="1" applyFill="1" applyBorder="1">
      <alignment/>
      <protection/>
    </xf>
    <xf numFmtId="5" fontId="98" fillId="0" borderId="21" xfId="85" applyNumberFormat="1" applyFont="1" applyFill="1" applyBorder="1">
      <alignment/>
      <protection/>
    </xf>
    <xf numFmtId="0" fontId="85" fillId="0" borderId="0" xfId="85" applyFont="1" applyFill="1">
      <alignment/>
      <protection/>
    </xf>
    <xf numFmtId="5" fontId="83" fillId="0" borderId="0" xfId="85" applyNumberFormat="1" applyFont="1" applyFill="1" applyBorder="1">
      <alignment/>
      <protection/>
    </xf>
    <xf numFmtId="5" fontId="83" fillId="0" borderId="18" xfId="85" applyNumberFormat="1" applyFont="1" applyFill="1" applyBorder="1">
      <alignment/>
      <protection/>
    </xf>
    <xf numFmtId="5" fontId="85" fillId="0" borderId="0" xfId="85" applyNumberFormat="1" applyFont="1" applyFill="1">
      <alignment/>
      <protection/>
    </xf>
    <xf numFmtId="5" fontId="83" fillId="0" borderId="19" xfId="85" applyNumberFormat="1" applyFont="1" applyFill="1" applyBorder="1">
      <alignment/>
      <protection/>
    </xf>
    <xf numFmtId="37" fontId="83" fillId="0" borderId="18" xfId="85" applyNumberFormat="1" applyFont="1" applyFill="1" applyBorder="1">
      <alignment/>
      <protection/>
    </xf>
    <xf numFmtId="37" fontId="85" fillId="0" borderId="0" xfId="85" applyNumberFormat="1" applyFont="1" applyFill="1">
      <alignment/>
      <protection/>
    </xf>
    <xf numFmtId="37" fontId="83" fillId="0" borderId="19" xfId="85" applyNumberFormat="1" applyFont="1" applyFill="1" applyBorder="1">
      <alignment/>
      <protection/>
    </xf>
    <xf numFmtId="0" fontId="83" fillId="0" borderId="0" xfId="85" applyFont="1" applyFill="1">
      <alignment/>
      <protection/>
    </xf>
    <xf numFmtId="0" fontId="83" fillId="0" borderId="19" xfId="85" applyFont="1" applyFill="1" applyBorder="1">
      <alignment/>
      <protection/>
    </xf>
    <xf numFmtId="5" fontId="83" fillId="0" borderId="26" xfId="85" applyNumberFormat="1" applyFont="1" applyFill="1" applyBorder="1">
      <alignment/>
      <protection/>
    </xf>
    <xf numFmtId="5" fontId="83" fillId="0" borderId="33" xfId="85" applyNumberFormat="1" applyFont="1" applyFill="1" applyBorder="1">
      <alignment/>
      <protection/>
    </xf>
    <xf numFmtId="37" fontId="83" fillId="0" borderId="22" xfId="85" applyNumberFormat="1" applyFont="1" applyFill="1" applyBorder="1">
      <alignment/>
      <protection/>
    </xf>
    <xf numFmtId="37" fontId="83" fillId="0" borderId="34" xfId="85" applyNumberFormat="1" applyFont="1" applyFill="1" applyBorder="1">
      <alignment/>
      <protection/>
    </xf>
    <xf numFmtId="0" fontId="83" fillId="0" borderId="22" xfId="85" applyFont="1" applyFill="1" applyBorder="1">
      <alignment/>
      <protection/>
    </xf>
    <xf numFmtId="37" fontId="83" fillId="0" borderId="35" xfId="85" applyNumberFormat="1" applyFont="1" applyFill="1" applyBorder="1">
      <alignment/>
      <protection/>
    </xf>
    <xf numFmtId="5" fontId="98" fillId="0" borderId="36" xfId="85" applyNumberFormat="1" applyFont="1" applyFill="1" applyBorder="1">
      <alignment/>
      <protection/>
    </xf>
    <xf numFmtId="5" fontId="98" fillId="0" borderId="12" xfId="85" applyNumberFormat="1" applyFont="1" applyFill="1" applyBorder="1">
      <alignment/>
      <protection/>
    </xf>
    <xf numFmtId="5" fontId="98" fillId="0" borderId="37" xfId="85" applyNumberFormat="1" applyFont="1" applyFill="1" applyBorder="1">
      <alignment/>
      <protection/>
    </xf>
    <xf numFmtId="41" fontId="83" fillId="0" borderId="18" xfId="0" applyNumberFormat="1" applyFont="1" applyFill="1" applyBorder="1" applyAlignment="1">
      <alignment/>
    </xf>
    <xf numFmtId="37" fontId="83" fillId="0" borderId="26" xfId="85" applyNumberFormat="1" applyFont="1" applyFill="1" applyBorder="1">
      <alignment/>
      <protection/>
    </xf>
    <xf numFmtId="37" fontId="98" fillId="0" borderId="24" xfId="85" applyNumberFormat="1" applyFont="1" applyFill="1" applyBorder="1">
      <alignment/>
      <protection/>
    </xf>
    <xf numFmtId="37" fontId="0" fillId="0" borderId="0" xfId="85" applyNumberFormat="1" applyFont="1" applyFill="1" applyBorder="1" applyAlignment="1">
      <alignment horizontal="right"/>
      <protection/>
    </xf>
    <xf numFmtId="0" fontId="83" fillId="0" borderId="17" xfId="85" applyFont="1" applyFill="1" applyBorder="1" applyAlignment="1">
      <alignment horizontal="center" vertical="top" wrapText="1"/>
      <protection/>
    </xf>
    <xf numFmtId="0" fontId="105" fillId="0" borderId="13" xfId="85" applyFont="1" applyFill="1" applyBorder="1" applyAlignment="1">
      <alignment horizontal="center" vertical="center" wrapText="1"/>
      <protection/>
    </xf>
    <xf numFmtId="37" fontId="0" fillId="0" borderId="27" xfId="85" applyNumberFormat="1" applyFont="1" applyFill="1" applyBorder="1">
      <alignment/>
      <protection/>
    </xf>
    <xf numFmtId="37" fontId="2" fillId="0" borderId="30" xfId="85" applyNumberFormat="1" applyFont="1" applyFill="1" applyBorder="1">
      <alignment/>
      <protection/>
    </xf>
    <xf numFmtId="0" fontId="83" fillId="0" borderId="38" xfId="85" applyFont="1" applyFill="1" applyBorder="1" applyAlignment="1">
      <alignment horizontal="center" vertical="top" wrapText="1"/>
      <protection/>
    </xf>
    <xf numFmtId="0" fontId="105" fillId="0" borderId="38" xfId="85" applyFont="1" applyFill="1" applyBorder="1" applyAlignment="1">
      <alignment horizontal="center" vertical="center" wrapText="1"/>
      <protection/>
    </xf>
    <xf numFmtId="0" fontId="7" fillId="0" borderId="38" xfId="85" applyFont="1" applyFill="1" applyBorder="1" applyAlignment="1">
      <alignment horizontal="center" wrapText="1"/>
      <protection/>
    </xf>
    <xf numFmtId="5" fontId="0" fillId="0" borderId="38" xfId="85" applyNumberFormat="1" applyFont="1" applyFill="1" applyBorder="1">
      <alignment/>
      <protection/>
    </xf>
    <xf numFmtId="37" fontId="0" fillId="0" borderId="38" xfId="85" applyNumberFormat="1" applyFont="1" applyFill="1" applyBorder="1">
      <alignment/>
      <protection/>
    </xf>
    <xf numFmtId="5" fontId="83" fillId="0" borderId="39" xfId="85" applyNumberFormat="1" applyFont="1" applyFill="1" applyBorder="1">
      <alignment/>
      <protection/>
    </xf>
    <xf numFmtId="5" fontId="98" fillId="0" borderId="40" xfId="85" applyNumberFormat="1" applyFont="1" applyFill="1" applyBorder="1">
      <alignment/>
      <protection/>
    </xf>
    <xf numFmtId="37" fontId="94" fillId="0" borderId="0" xfId="75" applyNumberFormat="1" applyFont="1" applyFill="1" applyBorder="1" applyAlignment="1">
      <alignment horizontal="center" vertical="center" wrapText="1"/>
      <protection/>
    </xf>
    <xf numFmtId="37" fontId="83" fillId="0" borderId="0" xfId="85" applyNumberFormat="1" applyFont="1" applyFill="1" applyBorder="1" applyAlignment="1">
      <alignment/>
      <protection/>
    </xf>
    <xf numFmtId="5" fontId="83" fillId="0" borderId="0" xfId="85" applyNumberFormat="1" applyFont="1" applyFill="1" applyBorder="1" applyAlignment="1">
      <alignment/>
      <protection/>
    </xf>
    <xf numFmtId="37" fontId="83" fillId="0" borderId="22" xfId="85" applyNumberFormat="1" applyFont="1" applyFill="1" applyBorder="1" applyAlignment="1">
      <alignment/>
      <protection/>
    </xf>
    <xf numFmtId="5" fontId="83" fillId="0" borderId="20" xfId="85" applyNumberFormat="1" applyFont="1" applyFill="1" applyBorder="1" applyAlignment="1">
      <alignment/>
      <protection/>
    </xf>
    <xf numFmtId="5" fontId="83" fillId="0" borderId="20" xfId="87" applyNumberFormat="1" applyFont="1" applyFill="1" applyBorder="1" applyAlignment="1">
      <alignment/>
      <protection/>
    </xf>
    <xf numFmtId="5" fontId="83" fillId="0" borderId="11" xfId="85" applyNumberFormat="1" applyFont="1" applyFill="1" applyBorder="1" applyAlignment="1">
      <alignment/>
      <protection/>
    </xf>
    <xf numFmtId="5" fontId="98" fillId="0" borderId="21" xfId="85" applyNumberFormat="1" applyFont="1" applyFill="1" applyBorder="1" applyAlignment="1">
      <alignment/>
      <protection/>
    </xf>
    <xf numFmtId="165" fontId="83" fillId="0" borderId="21" xfId="87" applyNumberFormat="1" applyFont="1" applyFill="1" applyBorder="1" applyAlignment="1">
      <alignment/>
      <protection/>
    </xf>
    <xf numFmtId="37" fontId="83" fillId="0" borderId="0" xfId="0" applyNumberFormat="1" applyFont="1" applyFill="1" applyAlignment="1">
      <alignment vertical="top" wrapText="1"/>
    </xf>
    <xf numFmtId="37" fontId="100" fillId="0" borderId="21" xfId="0" applyNumberFormat="1" applyFont="1" applyFill="1" applyBorder="1" applyAlignment="1">
      <alignment horizontal="left"/>
    </xf>
    <xf numFmtId="37" fontId="102" fillId="0" borderId="0" xfId="0" applyNumberFormat="1" applyFont="1" applyFill="1" applyAlignment="1">
      <alignment vertical="top"/>
    </xf>
    <xf numFmtId="5" fontId="83" fillId="0" borderId="21" xfId="55" applyNumberFormat="1" applyFont="1" applyFill="1" applyBorder="1" applyAlignment="1">
      <alignment/>
    </xf>
    <xf numFmtId="37" fontId="92" fillId="0" borderId="0" xfId="87" applyNumberFormat="1" applyFont="1" applyFill="1" applyBorder="1" applyAlignment="1">
      <alignment horizontal="center"/>
      <protection/>
    </xf>
    <xf numFmtId="37" fontId="84" fillId="0" borderId="0" xfId="87" applyNumberFormat="1" applyFont="1" applyFill="1" applyAlignment="1">
      <alignment horizontal="center" vertical="center" wrapText="1"/>
      <protection/>
    </xf>
    <xf numFmtId="39" fontId="69" fillId="0" borderId="0" xfId="87" applyNumberFormat="1" applyFont="1" applyFill="1">
      <alignment/>
      <protection/>
    </xf>
    <xf numFmtId="0" fontId="7" fillId="0" borderId="41" xfId="85" applyFont="1" applyFill="1" applyBorder="1" applyAlignment="1">
      <alignment horizontal="center" wrapText="1"/>
      <protection/>
    </xf>
    <xf numFmtId="0" fontId="7" fillId="0" borderId="36" xfId="85" applyFont="1" applyFill="1" applyBorder="1" applyAlignment="1">
      <alignment horizontal="center" wrapText="1"/>
      <protection/>
    </xf>
    <xf numFmtId="0" fontId="7" fillId="0" borderId="12" xfId="85" applyFont="1" applyFill="1" applyBorder="1" applyAlignment="1">
      <alignment horizontal="center" wrapText="1"/>
      <protection/>
    </xf>
    <xf numFmtId="0" fontId="7" fillId="0" borderId="30" xfId="85" applyFont="1" applyFill="1" applyBorder="1" applyAlignment="1">
      <alignment horizontal="center" wrapText="1"/>
      <protection/>
    </xf>
    <xf numFmtId="0" fontId="7" fillId="0" borderId="40" xfId="85" applyFont="1" applyFill="1" applyBorder="1" applyAlignment="1">
      <alignment horizontal="center" wrapText="1"/>
      <protection/>
    </xf>
    <xf numFmtId="0" fontId="7" fillId="0" borderId="24" xfId="85" applyFont="1" applyFill="1" applyBorder="1" applyAlignment="1">
      <alignment horizontal="center" wrapText="1"/>
      <protection/>
    </xf>
    <xf numFmtId="0" fontId="7" fillId="0" borderId="37" xfId="85" applyFont="1" applyFill="1" applyBorder="1" applyAlignment="1">
      <alignment horizontal="center" wrapText="1"/>
      <protection/>
    </xf>
    <xf numFmtId="5" fontId="83" fillId="0" borderId="13" xfId="75" applyNumberFormat="1" applyFont="1" applyFill="1" applyBorder="1">
      <alignment/>
      <protection/>
    </xf>
    <xf numFmtId="10" fontId="83" fillId="0" borderId="14" xfId="75" applyNumberFormat="1" applyFont="1" applyFill="1" applyBorder="1" applyAlignment="1">
      <alignment horizontal="center"/>
      <protection/>
    </xf>
    <xf numFmtId="5" fontId="0" fillId="0" borderId="0" xfId="0" applyNumberFormat="1" applyFont="1" applyBorder="1" applyAlignment="1">
      <alignment horizontal="right"/>
    </xf>
    <xf numFmtId="165" fontId="83" fillId="0" borderId="13" xfId="84" applyNumberFormat="1" applyFont="1" applyFill="1" applyBorder="1">
      <alignment/>
      <protection/>
    </xf>
    <xf numFmtId="10" fontId="83" fillId="0" borderId="0" xfId="75" applyNumberFormat="1" applyFont="1" applyFill="1" applyBorder="1" applyAlignment="1">
      <alignment horizontal="center"/>
      <protection/>
    </xf>
    <xf numFmtId="167" fontId="83" fillId="0" borderId="13" xfId="75" applyNumberFormat="1" applyFont="1" applyFill="1" applyBorder="1" applyAlignment="1">
      <alignment horizontal="center"/>
      <protection/>
    </xf>
    <xf numFmtId="5" fontId="98" fillId="0" borderId="0" xfId="75" applyNumberFormat="1" applyFont="1" applyFill="1" applyBorder="1">
      <alignment/>
      <protection/>
    </xf>
    <xf numFmtId="37" fontId="83" fillId="0" borderId="13" xfId="75" applyNumberFormat="1" applyFont="1" applyFill="1" applyBorder="1">
      <alignment/>
      <protection/>
    </xf>
    <xf numFmtId="37" fontId="83" fillId="0" borderId="13" xfId="84" applyNumberFormat="1" applyFont="1" applyFill="1" applyBorder="1" applyAlignment="1">
      <alignment horizontal="right"/>
      <protection/>
    </xf>
    <xf numFmtId="3" fontId="83" fillId="0" borderId="13" xfId="84" applyNumberFormat="1" applyFont="1" applyFill="1" applyBorder="1">
      <alignment/>
      <protection/>
    </xf>
    <xf numFmtId="37" fontId="98" fillId="0" borderId="0" xfId="75" applyNumberFormat="1" applyFont="1" applyFill="1" applyBorder="1">
      <alignment/>
      <protection/>
    </xf>
    <xf numFmtId="3" fontId="83" fillId="0" borderId="13" xfId="75" applyNumberFormat="1" applyFont="1" applyFill="1" applyBorder="1">
      <alignment/>
      <protection/>
    </xf>
    <xf numFmtId="168" fontId="83" fillId="0" borderId="0" xfId="75" applyNumberFormat="1" applyFont="1" applyFill="1" applyBorder="1">
      <alignment/>
      <protection/>
    </xf>
    <xf numFmtId="0" fontId="83" fillId="0" borderId="13" xfId="75" applyFont="1" applyFill="1" applyBorder="1" applyAlignment="1">
      <alignment horizontal="right"/>
      <protection/>
    </xf>
    <xf numFmtId="3" fontId="83" fillId="0" borderId="14" xfId="75" applyNumberFormat="1" applyFont="1" applyFill="1" applyBorder="1" applyAlignment="1">
      <alignment horizontal="center"/>
      <protection/>
    </xf>
    <xf numFmtId="0" fontId="83" fillId="0" borderId="13" xfId="75" applyFont="1" applyFill="1" applyBorder="1">
      <alignment/>
      <protection/>
    </xf>
    <xf numFmtId="3" fontId="83" fillId="0" borderId="13" xfId="75" applyNumberFormat="1" applyFont="1" applyFill="1" applyBorder="1" applyAlignment="1">
      <alignment horizontal="center"/>
      <protection/>
    </xf>
    <xf numFmtId="0" fontId="83" fillId="0" borderId="22" xfId="75" applyFont="1" applyFill="1" applyBorder="1">
      <alignment/>
      <protection/>
    </xf>
    <xf numFmtId="5" fontId="83" fillId="0" borderId="15" xfId="75" applyNumberFormat="1" applyFont="1" applyFill="1" applyBorder="1">
      <alignment/>
      <protection/>
    </xf>
    <xf numFmtId="10" fontId="83" fillId="0" borderId="22" xfId="75" applyNumberFormat="1" applyFont="1" applyFill="1" applyBorder="1" applyAlignment="1">
      <alignment horizontal="center"/>
      <protection/>
    </xf>
    <xf numFmtId="5" fontId="83" fillId="0" borderId="15" xfId="75" applyNumberFormat="1" applyFont="1" applyFill="1" applyBorder="1" applyAlignment="1">
      <alignment horizontal="right"/>
      <protection/>
    </xf>
    <xf numFmtId="10" fontId="83" fillId="0" borderId="16" xfId="75" applyNumberFormat="1" applyFont="1" applyFill="1" applyBorder="1" applyAlignment="1">
      <alignment horizontal="center"/>
      <protection/>
    </xf>
    <xf numFmtId="165" fontId="83" fillId="0" borderId="15" xfId="75" applyNumberFormat="1" applyFont="1" applyFill="1" applyBorder="1">
      <alignment/>
      <protection/>
    </xf>
    <xf numFmtId="10" fontId="83" fillId="0" borderId="15" xfId="75" applyNumberFormat="1" applyFont="1" applyFill="1" applyBorder="1" applyAlignment="1">
      <alignment horizontal="center"/>
      <protection/>
    </xf>
    <xf numFmtId="5" fontId="98" fillId="0" borderId="22" xfId="61" applyNumberFormat="1" applyFont="1" applyFill="1" applyBorder="1" applyAlignment="1">
      <alignment/>
    </xf>
    <xf numFmtId="37" fontId="98" fillId="0" borderId="12" xfId="0" applyNumberFormat="1" applyFont="1" applyFill="1" applyBorder="1" applyAlignment="1" quotePrefix="1">
      <alignment horizontal="center"/>
    </xf>
    <xf numFmtId="37" fontId="98" fillId="33" borderId="27" xfId="0" applyNumberFormat="1" applyFont="1" applyFill="1" applyBorder="1" applyAlignment="1">
      <alignment horizontal="center" vertical="center"/>
    </xf>
    <xf numFmtId="37" fontId="98" fillId="33" borderId="28" xfId="0" applyNumberFormat="1" applyFont="1" applyFill="1" applyBorder="1" applyAlignment="1">
      <alignment horizontal="center" vertical="center"/>
    </xf>
    <xf numFmtId="41" fontId="0" fillId="0" borderId="0" xfId="85" applyNumberFormat="1" applyFont="1" applyFill="1">
      <alignment/>
      <protection/>
    </xf>
    <xf numFmtId="37" fontId="106" fillId="0" borderId="0" xfId="87" applyNumberFormat="1" applyFont="1" applyFill="1" applyBorder="1" applyAlignment="1">
      <alignment horizontal="center" wrapText="1"/>
      <protection/>
    </xf>
    <xf numFmtId="37" fontId="82" fillId="0" borderId="0" xfId="75" applyNumberFormat="1" applyFont="1" applyFill="1" applyAlignment="1">
      <alignment horizontal="left"/>
      <protection/>
    </xf>
    <xf numFmtId="37" fontId="82" fillId="0" borderId="0" xfId="75" applyNumberFormat="1" applyFont="1" applyFill="1" applyBorder="1" applyAlignment="1">
      <alignment horizontal="left"/>
      <protection/>
    </xf>
    <xf numFmtId="37" fontId="69" fillId="0" borderId="0" xfId="75" applyNumberFormat="1" applyFont="1" applyFill="1" applyAlignment="1">
      <alignment horizontal="left"/>
      <protection/>
    </xf>
    <xf numFmtId="168" fontId="80" fillId="0" borderId="0" xfId="99" applyNumberFormat="1" applyFont="1" applyFill="1" applyAlignment="1">
      <alignment horizontal="center"/>
    </xf>
    <xf numFmtId="38" fontId="80" fillId="0" borderId="0" xfId="0" applyNumberFormat="1" applyFont="1" applyFill="1" applyAlignment="1">
      <alignment horizontal="center"/>
    </xf>
    <xf numFmtId="37" fontId="94" fillId="0" borderId="0" xfId="0" applyNumberFormat="1" applyFont="1" applyFill="1" applyBorder="1" applyAlignment="1">
      <alignment horizontal="center" vertical="center" wrapText="1"/>
    </xf>
    <xf numFmtId="37" fontId="107" fillId="0" borderId="0" xfId="55" applyNumberFormat="1" applyFont="1" applyFill="1" applyBorder="1" applyAlignment="1">
      <alignment horizontal="left"/>
    </xf>
    <xf numFmtId="37" fontId="98" fillId="0" borderId="0" xfId="87" applyNumberFormat="1" applyFont="1" applyFill="1" applyBorder="1" applyAlignment="1">
      <alignment wrapText="1"/>
      <protection/>
    </xf>
    <xf numFmtId="37" fontId="98" fillId="0" borderId="0" xfId="87" applyNumberFormat="1" applyFont="1" applyFill="1" applyBorder="1" applyAlignment="1">
      <alignment horizontal="center" wrapText="1"/>
      <protection/>
    </xf>
    <xf numFmtId="37" fontId="98" fillId="0" borderId="0" xfId="55" applyNumberFormat="1" applyFont="1" applyFill="1" applyBorder="1" applyAlignment="1">
      <alignment horizontal="center" wrapText="1"/>
    </xf>
    <xf numFmtId="37" fontId="98" fillId="0" borderId="0" xfId="87" applyNumberFormat="1" applyFont="1" applyFill="1" applyAlignment="1">
      <alignment wrapText="1"/>
      <protection/>
    </xf>
    <xf numFmtId="37" fontId="98" fillId="0" borderId="22" xfId="55" applyNumberFormat="1" applyFont="1" applyFill="1" applyBorder="1" applyAlignment="1" quotePrefix="1">
      <alignment horizontal="center" wrapText="1"/>
    </xf>
    <xf numFmtId="37" fontId="108" fillId="0" borderId="0" xfId="55" applyNumberFormat="1" applyFont="1" applyFill="1" applyBorder="1" applyAlignment="1">
      <alignment horizontal="left"/>
    </xf>
    <xf numFmtId="37" fontId="94" fillId="0" borderId="0" xfId="87" applyNumberFormat="1" applyFont="1" applyFill="1" applyBorder="1" applyAlignment="1" quotePrefix="1">
      <alignment horizontal="center" vertical="center" wrapText="1"/>
      <protection/>
    </xf>
    <xf numFmtId="5" fontId="83" fillId="0" borderId="12" xfId="87" applyNumberFormat="1" applyFont="1" applyFill="1" applyBorder="1">
      <alignment/>
      <protection/>
    </xf>
    <xf numFmtId="5" fontId="83" fillId="0" borderId="21" xfId="87" applyNumberFormat="1" applyFont="1" applyFill="1" applyBorder="1">
      <alignment/>
      <protection/>
    </xf>
    <xf numFmtId="5" fontId="83" fillId="0" borderId="21" xfId="55" applyNumberFormat="1" applyFont="1" applyFill="1" applyBorder="1" applyAlignment="1">
      <alignment horizontal="right"/>
    </xf>
    <xf numFmtId="37" fontId="85" fillId="0" borderId="12" xfId="0" applyNumberFormat="1" applyFont="1" applyFill="1" applyBorder="1" applyAlignment="1">
      <alignment horizontal="center" wrapText="1"/>
    </xf>
    <xf numFmtId="37" fontId="83" fillId="0" borderId="0" xfId="0" applyNumberFormat="1" applyFont="1" applyFill="1" applyAlignment="1">
      <alignment horizontal="left" vertical="top" wrapText="1"/>
    </xf>
    <xf numFmtId="37" fontId="98" fillId="0" borderId="22" xfId="87" applyNumberFormat="1" applyFont="1" applyFill="1" applyBorder="1" applyAlignment="1">
      <alignment horizontal="center" wrapText="1"/>
      <protection/>
    </xf>
    <xf numFmtId="37" fontId="108" fillId="0" borderId="0" xfId="55" applyNumberFormat="1" applyFont="1" applyFill="1" applyBorder="1" applyAlignment="1">
      <alignment horizontal="left" vertical="center"/>
    </xf>
    <xf numFmtId="165" fontId="83" fillId="0" borderId="0" xfId="0" applyNumberFormat="1" applyFont="1" applyAlignment="1">
      <alignment/>
    </xf>
    <xf numFmtId="3" fontId="83" fillId="0" borderId="0" xfId="0" applyNumberFormat="1" applyFont="1" applyAlignment="1">
      <alignment/>
    </xf>
    <xf numFmtId="37" fontId="92" fillId="0" borderId="0" xfId="0" applyNumberFormat="1" applyFont="1" applyFill="1" applyAlignment="1">
      <alignment/>
    </xf>
    <xf numFmtId="37" fontId="85" fillId="0" borderId="0" xfId="0" applyNumberFormat="1" applyFont="1" applyFill="1" applyAlignment="1">
      <alignment horizontal="center"/>
    </xf>
    <xf numFmtId="37" fontId="85" fillId="0" borderId="0" xfId="0" applyNumberFormat="1" applyFont="1" applyFill="1" applyAlignment="1">
      <alignment/>
    </xf>
    <xf numFmtId="37" fontId="84" fillId="0" borderId="0" xfId="0" applyNumberFormat="1" applyFont="1" applyFill="1" applyAlignment="1">
      <alignment/>
    </xf>
    <xf numFmtId="37" fontId="84" fillId="0" borderId="0" xfId="0" applyNumberFormat="1" applyFont="1" applyFill="1" applyAlignment="1">
      <alignment horizontal="center"/>
    </xf>
    <xf numFmtId="37" fontId="84" fillId="0" borderId="0" xfId="0" applyNumberFormat="1" applyFont="1" applyFill="1" applyAlignment="1" quotePrefix="1">
      <alignment horizontal="center"/>
    </xf>
    <xf numFmtId="37" fontId="69" fillId="0" borderId="0" xfId="0" applyNumberFormat="1" applyFont="1" applyFill="1" applyAlignment="1">
      <alignment/>
    </xf>
    <xf numFmtId="37" fontId="69" fillId="0" borderId="0" xfId="0" applyNumberFormat="1" applyFont="1" applyFill="1" applyAlignment="1">
      <alignment horizontal="center"/>
    </xf>
    <xf numFmtId="37" fontId="85" fillId="0" borderId="42" xfId="0" applyNumberFormat="1" applyFont="1" applyFill="1" applyBorder="1" applyAlignment="1">
      <alignment horizontal="center" wrapText="1"/>
    </xf>
    <xf numFmtId="37" fontId="104" fillId="0" borderId="0" xfId="0" applyNumberFormat="1" applyFont="1" applyFill="1" applyBorder="1" applyAlignment="1">
      <alignment horizontal="left"/>
    </xf>
    <xf numFmtId="37" fontId="94" fillId="0" borderId="13" xfId="0" applyNumberFormat="1" applyFont="1" applyFill="1" applyBorder="1" applyAlignment="1">
      <alignment horizontal="center" vertical="center"/>
    </xf>
    <xf numFmtId="37" fontId="94" fillId="0" borderId="14" xfId="0" applyNumberFormat="1" applyFont="1" applyFill="1" applyBorder="1" applyAlignment="1">
      <alignment horizontal="center" vertical="center"/>
    </xf>
    <xf numFmtId="37" fontId="94" fillId="0" borderId="43" xfId="0" applyNumberFormat="1" applyFont="1" applyFill="1" applyBorder="1" applyAlignment="1">
      <alignment horizontal="center" vertical="center" wrapText="1"/>
    </xf>
    <xf numFmtId="37" fontId="109" fillId="0" borderId="43" xfId="0" applyNumberFormat="1" applyFont="1" applyFill="1" applyBorder="1" applyAlignment="1">
      <alignment horizontal="center" vertical="center" wrapText="1"/>
    </xf>
    <xf numFmtId="37" fontId="94" fillId="0" borderId="13" xfId="0" applyNumberFormat="1" applyFont="1" applyFill="1" applyBorder="1" applyAlignment="1">
      <alignment horizontal="center" vertical="center" wrapText="1"/>
    </xf>
    <xf numFmtId="37" fontId="94" fillId="0" borderId="43" xfId="0" applyNumberFormat="1" applyFont="1" applyFill="1" applyBorder="1" applyAlignment="1">
      <alignment horizontal="center" vertical="center"/>
    </xf>
    <xf numFmtId="37" fontId="94" fillId="0" borderId="0" xfId="0" applyNumberFormat="1" applyFont="1" applyFill="1" applyAlignment="1">
      <alignment horizontal="center" vertical="center"/>
    </xf>
    <xf numFmtId="37" fontId="83" fillId="0" borderId="13" xfId="0" applyNumberFormat="1" applyFont="1" applyFill="1" applyBorder="1" applyAlignment="1">
      <alignment/>
    </xf>
    <xf numFmtId="37" fontId="83" fillId="0" borderId="14" xfId="0" applyNumberFormat="1" applyFont="1" applyFill="1" applyBorder="1" applyAlignment="1">
      <alignment/>
    </xf>
    <xf numFmtId="37" fontId="83" fillId="0" borderId="43" xfId="0" applyNumberFormat="1" applyFont="1" applyFill="1" applyBorder="1" applyAlignment="1">
      <alignment/>
    </xf>
    <xf numFmtId="37" fontId="94" fillId="0" borderId="0" xfId="0" applyNumberFormat="1" applyFont="1" applyFill="1" applyBorder="1" applyAlignment="1">
      <alignment horizontal="center" wrapText="1"/>
    </xf>
    <xf numFmtId="37" fontId="94" fillId="0" borderId="43" xfId="0" applyNumberFormat="1" applyFont="1" applyFill="1" applyBorder="1" applyAlignment="1">
      <alignment horizontal="center" wrapText="1"/>
    </xf>
    <xf numFmtId="37" fontId="94" fillId="0" borderId="13" xfId="0" applyNumberFormat="1" applyFont="1" applyFill="1" applyBorder="1" applyAlignment="1">
      <alignment horizontal="center" wrapText="1"/>
    </xf>
    <xf numFmtId="37" fontId="83" fillId="0" borderId="43" xfId="0" applyNumberFormat="1" applyFont="1" applyFill="1" applyBorder="1" applyAlignment="1">
      <alignment/>
    </xf>
    <xf numFmtId="5" fontId="83" fillId="0" borderId="0" xfId="0" applyNumberFormat="1" applyFont="1" applyFill="1" applyAlignment="1">
      <alignment/>
    </xf>
    <xf numFmtId="5" fontId="83" fillId="0" borderId="13" xfId="0" applyNumberFormat="1" applyFont="1" applyFill="1" applyBorder="1" applyAlignment="1">
      <alignment/>
    </xf>
    <xf numFmtId="5" fontId="83" fillId="0" borderId="14" xfId="0" applyNumberFormat="1" applyFont="1" applyFill="1" applyBorder="1" applyAlignment="1">
      <alignment/>
    </xf>
    <xf numFmtId="5" fontId="110" fillId="0" borderId="0" xfId="74" applyNumberFormat="1" applyFont="1" applyFill="1" applyAlignment="1">
      <alignment/>
      <protection/>
    </xf>
    <xf numFmtId="5" fontId="83" fillId="0" borderId="43" xfId="0" applyNumberFormat="1" applyFont="1" applyFill="1" applyBorder="1" applyAlignment="1">
      <alignment/>
    </xf>
    <xf numFmtId="5" fontId="83" fillId="0" borderId="0" xfId="0" applyNumberFormat="1" applyFont="1" applyAlignment="1">
      <alignment/>
    </xf>
    <xf numFmtId="5" fontId="83" fillId="0" borderId="43" xfId="0" applyNumberFormat="1" applyFont="1" applyFill="1" applyBorder="1" applyAlignment="1">
      <alignment horizontal="right" vertical="center"/>
    </xf>
    <xf numFmtId="5" fontId="83" fillId="0" borderId="0" xfId="0" applyNumberFormat="1" applyFont="1" applyFill="1" applyBorder="1" applyAlignment="1">
      <alignment horizontal="right" vertical="center"/>
    </xf>
    <xf numFmtId="5" fontId="85" fillId="0" borderId="13" xfId="0" applyNumberFormat="1" applyFont="1" applyFill="1" applyBorder="1" applyAlignment="1">
      <alignment horizontal="right" vertical="center"/>
    </xf>
    <xf numFmtId="5" fontId="85" fillId="0" borderId="0" xfId="0" applyNumberFormat="1" applyFont="1" applyFill="1" applyBorder="1" applyAlignment="1">
      <alignment horizontal="right" vertical="center"/>
    </xf>
    <xf numFmtId="5" fontId="85" fillId="0" borderId="14" xfId="0" applyNumberFormat="1" applyFont="1" applyFill="1" applyBorder="1" applyAlignment="1">
      <alignment/>
    </xf>
    <xf numFmtId="5" fontId="85" fillId="0" borderId="0" xfId="0" applyNumberFormat="1" applyFont="1" applyFill="1" applyAlignment="1">
      <alignment/>
    </xf>
    <xf numFmtId="37" fontId="83" fillId="0" borderId="13" xfId="0" applyNumberFormat="1" applyFont="1" applyFill="1" applyBorder="1" applyAlignment="1">
      <alignment/>
    </xf>
    <xf numFmtId="37" fontId="83" fillId="0" borderId="14" xfId="0" applyNumberFormat="1" applyFont="1" applyFill="1" applyBorder="1" applyAlignment="1">
      <alignment/>
    </xf>
    <xf numFmtId="37" fontId="110" fillId="0" borderId="0" xfId="74" applyNumberFormat="1" applyFont="1" applyFill="1" applyAlignment="1">
      <alignment/>
      <protection/>
    </xf>
    <xf numFmtId="37" fontId="83" fillId="0" borderId="43" xfId="74" applyNumberFormat="1" applyFont="1" applyFill="1" applyBorder="1" applyAlignment="1">
      <alignment/>
      <protection/>
    </xf>
    <xf numFmtId="37" fontId="83" fillId="0" borderId="0" xfId="74" applyNumberFormat="1" applyFont="1" applyFill="1" applyBorder="1" applyAlignment="1">
      <alignment/>
      <protection/>
    </xf>
    <xf numFmtId="37" fontId="83" fillId="0" borderId="0" xfId="0" applyNumberFormat="1" applyFont="1" applyAlignment="1">
      <alignment/>
    </xf>
    <xf numFmtId="37" fontId="83" fillId="0" borderId="43" xfId="0" applyNumberFormat="1" applyFont="1" applyFill="1" applyBorder="1" applyAlignment="1">
      <alignment horizontal="right" vertical="center"/>
    </xf>
    <xf numFmtId="37" fontId="83" fillId="0" borderId="0" xfId="0" applyNumberFormat="1" applyFont="1" applyFill="1" applyBorder="1" applyAlignment="1">
      <alignment horizontal="right" vertical="center"/>
    </xf>
    <xf numFmtId="37" fontId="85" fillId="0" borderId="13" xfId="0" applyNumberFormat="1" applyFont="1" applyFill="1" applyBorder="1" applyAlignment="1">
      <alignment horizontal="right" vertical="center"/>
    </xf>
    <xf numFmtId="37" fontId="85" fillId="0" borderId="0" xfId="0" applyNumberFormat="1" applyFont="1" applyFill="1" applyBorder="1" applyAlignment="1">
      <alignment horizontal="right" vertical="center"/>
    </xf>
    <xf numFmtId="37" fontId="85" fillId="0" borderId="14" xfId="0" applyNumberFormat="1" applyFont="1" applyFill="1" applyBorder="1" applyAlignment="1">
      <alignment/>
    </xf>
    <xf numFmtId="37" fontId="100" fillId="0" borderId="0" xfId="0" applyNumberFormat="1" applyFont="1" applyFill="1" applyBorder="1" applyAlignment="1">
      <alignment horizontal="left" vertical="center"/>
    </xf>
    <xf numFmtId="5" fontId="83" fillId="0" borderId="27" xfId="0" applyNumberFormat="1" applyFont="1" applyFill="1" applyBorder="1" applyAlignment="1">
      <alignment/>
    </xf>
    <xf numFmtId="5" fontId="83" fillId="0" borderId="28" xfId="0" applyNumberFormat="1" applyFont="1" applyFill="1" applyBorder="1" applyAlignment="1">
      <alignment/>
    </xf>
    <xf numFmtId="5" fontId="83" fillId="0" borderId="44" xfId="0" applyNumberFormat="1" applyFont="1" applyFill="1" applyBorder="1" applyAlignment="1">
      <alignment/>
    </xf>
    <xf numFmtId="5" fontId="83" fillId="0" borderId="44" xfId="0" applyNumberFormat="1" applyFont="1" applyFill="1" applyBorder="1" applyAlignment="1">
      <alignment/>
    </xf>
    <xf numFmtId="10" fontId="83" fillId="0" borderId="27" xfId="0" applyNumberFormat="1" applyFont="1" applyFill="1" applyBorder="1" applyAlignment="1">
      <alignment/>
    </xf>
    <xf numFmtId="5" fontId="85" fillId="0" borderId="28" xfId="0" applyNumberFormat="1" applyFont="1" applyFill="1" applyBorder="1" applyAlignment="1">
      <alignment/>
    </xf>
    <xf numFmtId="38" fontId="83" fillId="0" borderId="0" xfId="0" applyNumberFormat="1" applyFont="1" applyFill="1" applyAlignment="1">
      <alignment/>
    </xf>
    <xf numFmtId="37" fontId="100" fillId="0" borderId="0" xfId="0" applyNumberFormat="1" applyFont="1" applyFill="1" applyBorder="1" applyAlignment="1">
      <alignment horizontal="left"/>
    </xf>
    <xf numFmtId="37" fontId="100" fillId="0" borderId="0" xfId="0" applyNumberFormat="1" applyFont="1" applyFill="1" applyBorder="1" applyAlignment="1">
      <alignment/>
    </xf>
    <xf numFmtId="37" fontId="83" fillId="0" borderId="45" xfId="0" applyNumberFormat="1" applyFont="1" applyFill="1" applyBorder="1" applyAlignment="1">
      <alignment/>
    </xf>
    <xf numFmtId="5" fontId="83" fillId="0" borderId="30" xfId="0" applyNumberFormat="1" applyFont="1" applyFill="1" applyBorder="1" applyAlignment="1">
      <alignment/>
    </xf>
    <xf numFmtId="5" fontId="83" fillId="0" borderId="32" xfId="0" applyNumberFormat="1" applyFont="1" applyFill="1" applyBorder="1" applyAlignment="1">
      <alignment/>
    </xf>
    <xf numFmtId="5" fontId="83" fillId="0" borderId="46" xfId="0" applyNumberFormat="1" applyFont="1" applyFill="1" applyBorder="1" applyAlignment="1">
      <alignment/>
    </xf>
    <xf numFmtId="37" fontId="83" fillId="0" borderId="46" xfId="0" applyNumberFormat="1" applyFont="1" applyFill="1" applyBorder="1" applyAlignment="1">
      <alignment/>
    </xf>
    <xf numFmtId="170" fontId="83" fillId="0" borderId="30" xfId="0" applyNumberFormat="1" applyFont="1" applyFill="1" applyBorder="1" applyAlignment="1">
      <alignment/>
    </xf>
    <xf numFmtId="5" fontId="85" fillId="0" borderId="32" xfId="0" applyNumberFormat="1" applyFont="1" applyFill="1" applyBorder="1" applyAlignment="1">
      <alignment/>
    </xf>
    <xf numFmtId="37" fontId="83" fillId="0" borderId="0" xfId="0" applyNumberFormat="1" applyFont="1" applyFill="1" applyBorder="1" applyAlignment="1">
      <alignment horizontal="right" indent="1"/>
    </xf>
    <xf numFmtId="37" fontId="83" fillId="0" borderId="0" xfId="0" applyNumberFormat="1" applyFont="1" applyFill="1" applyAlignment="1">
      <alignment horizontal="left" wrapText="1"/>
    </xf>
    <xf numFmtId="170" fontId="83" fillId="0" borderId="0" xfId="0" applyNumberFormat="1" applyFont="1" applyFill="1" applyAlignment="1">
      <alignment vertical="top"/>
    </xf>
    <xf numFmtId="37" fontId="84" fillId="0" borderId="0" xfId="0" applyNumberFormat="1" applyFont="1" applyFill="1" applyBorder="1" applyAlignment="1" quotePrefix="1">
      <alignment horizontal="center"/>
    </xf>
    <xf numFmtId="5" fontId="83" fillId="0" borderId="0" xfId="74" applyNumberFormat="1" applyFont="1" applyFill="1">
      <alignment/>
      <protection/>
    </xf>
    <xf numFmtId="37" fontId="83" fillId="0" borderId="0" xfId="74" applyNumberFormat="1" applyFont="1" applyFill="1">
      <alignment/>
      <protection/>
    </xf>
    <xf numFmtId="37" fontId="83" fillId="0" borderId="0" xfId="75" applyNumberFormat="1" applyFont="1" applyFill="1" applyBorder="1" applyAlignment="1">
      <alignment/>
      <protection/>
    </xf>
    <xf numFmtId="37" fontId="83" fillId="0" borderId="0" xfId="0" applyNumberFormat="1" applyFont="1" applyFill="1" applyBorder="1" applyAlignment="1">
      <alignment vertical="top" wrapText="1"/>
    </xf>
    <xf numFmtId="37" fontId="85" fillId="0" borderId="0" xfId="0" applyNumberFormat="1" applyFont="1" applyFill="1" applyBorder="1" applyAlignment="1">
      <alignment horizontal="center" wrapText="1"/>
    </xf>
    <xf numFmtId="37" fontId="84" fillId="0" borderId="0" xfId="0" applyNumberFormat="1" applyFont="1" applyFill="1" applyBorder="1" applyAlignment="1">
      <alignment/>
    </xf>
    <xf numFmtId="37" fontId="69" fillId="0" borderId="0" xfId="0" applyNumberFormat="1" applyFont="1" applyFill="1" applyBorder="1" applyAlignment="1">
      <alignment/>
    </xf>
    <xf numFmtId="37" fontId="102" fillId="0" borderId="0" xfId="0" applyNumberFormat="1" applyFont="1" applyFill="1" applyAlignment="1">
      <alignment horizontal="left" vertical="top" wrapText="1"/>
    </xf>
    <xf numFmtId="37" fontId="93" fillId="33" borderId="10" xfId="0" applyNumberFormat="1" applyFont="1" applyFill="1" applyBorder="1" applyAlignment="1">
      <alignment horizontal="center" wrapText="1"/>
    </xf>
    <xf numFmtId="37" fontId="93" fillId="33" borderId="23" xfId="0" applyNumberFormat="1" applyFont="1" applyFill="1" applyBorder="1" applyAlignment="1">
      <alignment horizontal="center" wrapText="1"/>
    </xf>
    <xf numFmtId="37" fontId="93" fillId="33" borderId="15" xfId="0" applyNumberFormat="1" applyFont="1" applyFill="1" applyBorder="1" applyAlignment="1">
      <alignment horizontal="center" wrapText="1"/>
    </xf>
    <xf numFmtId="37" fontId="93" fillId="33" borderId="16" xfId="0" applyNumberFormat="1" applyFont="1" applyFill="1" applyBorder="1" applyAlignment="1">
      <alignment horizontal="center" wrapText="1"/>
    </xf>
    <xf numFmtId="37" fontId="85" fillId="0" borderId="21" xfId="0" applyNumberFormat="1" applyFont="1" applyFill="1" applyBorder="1" applyAlignment="1">
      <alignment horizontal="center" wrapText="1"/>
    </xf>
    <xf numFmtId="37" fontId="84" fillId="0" borderId="47" xfId="0" applyNumberFormat="1" applyFont="1" applyFill="1" applyBorder="1" applyAlignment="1">
      <alignment horizontal="center" vertical="center"/>
    </xf>
    <xf numFmtId="37" fontId="84" fillId="0" borderId="47" xfId="0" applyNumberFormat="1" applyFont="1" applyFill="1" applyBorder="1" applyAlignment="1">
      <alignment horizontal="center" vertical="center" wrapText="1"/>
    </xf>
    <xf numFmtId="37" fontId="84" fillId="0" borderId="22" xfId="0" applyNumberFormat="1" applyFont="1" applyFill="1" applyBorder="1" applyAlignment="1">
      <alignment horizontal="center"/>
    </xf>
    <xf numFmtId="37" fontId="97" fillId="0" borderId="0" xfId="0" applyNumberFormat="1" applyFont="1" applyFill="1" applyBorder="1" applyAlignment="1">
      <alignment horizontal="center" wrapText="1"/>
    </xf>
    <xf numFmtId="37" fontId="93" fillId="0" borderId="0" xfId="0" applyNumberFormat="1" applyFont="1" applyFill="1" applyBorder="1" applyAlignment="1">
      <alignment horizontal="center" wrapText="1"/>
    </xf>
    <xf numFmtId="37" fontId="84" fillId="0" borderId="47" xfId="0" applyNumberFormat="1" applyFont="1" applyFill="1" applyBorder="1" applyAlignment="1" quotePrefix="1">
      <alignment horizontal="center" vertical="center"/>
    </xf>
    <xf numFmtId="37" fontId="85" fillId="0" borderId="11" xfId="0" applyNumberFormat="1" applyFont="1" applyFill="1" applyBorder="1" applyAlignment="1">
      <alignment horizontal="center" wrapText="1"/>
    </xf>
    <xf numFmtId="37" fontId="85" fillId="0" borderId="12" xfId="0" applyNumberFormat="1" applyFont="1" applyFill="1" applyBorder="1" applyAlignment="1">
      <alignment horizontal="center" wrapText="1"/>
    </xf>
    <xf numFmtId="37" fontId="83" fillId="0" borderId="0" xfId="0" applyNumberFormat="1" applyFont="1" applyFill="1" applyAlignment="1">
      <alignment horizontal="left" vertical="top" wrapText="1"/>
    </xf>
    <xf numFmtId="37" fontId="84" fillId="0" borderId="10" xfId="0" applyNumberFormat="1" applyFont="1" applyFill="1" applyBorder="1" applyAlignment="1">
      <alignment horizontal="center" wrapText="1"/>
    </xf>
    <xf numFmtId="37" fontId="84" fillId="0" borderId="11" xfId="0" applyNumberFormat="1" applyFont="1" applyFill="1" applyBorder="1" applyAlignment="1">
      <alignment horizontal="center" wrapText="1"/>
    </xf>
    <xf numFmtId="37" fontId="84" fillId="0" borderId="23" xfId="0" applyNumberFormat="1" applyFont="1" applyFill="1" applyBorder="1" applyAlignment="1">
      <alignment horizontal="center" wrapText="1"/>
    </xf>
    <xf numFmtId="37" fontId="111" fillId="0" borderId="0" xfId="75" applyNumberFormat="1" applyFont="1" applyFill="1" applyBorder="1" applyAlignment="1">
      <alignment horizontal="center" vertical="center" wrapText="1"/>
      <protection/>
    </xf>
    <xf numFmtId="37" fontId="85" fillId="0" borderId="0" xfId="0" applyNumberFormat="1" applyFont="1" applyFill="1" applyBorder="1" applyAlignment="1">
      <alignment horizontal="center" wrapText="1"/>
    </xf>
    <xf numFmtId="37" fontId="84" fillId="0" borderId="10" xfId="87" applyNumberFormat="1" applyFont="1" applyFill="1" applyBorder="1" applyAlignment="1">
      <alignment horizontal="center" wrapText="1"/>
      <protection/>
    </xf>
    <xf numFmtId="37" fontId="84" fillId="0" borderId="11" xfId="87" applyNumberFormat="1" applyFont="1" applyFill="1" applyBorder="1" applyAlignment="1">
      <alignment horizontal="center" wrapText="1"/>
      <protection/>
    </xf>
    <xf numFmtId="37" fontId="84" fillId="0" borderId="23" xfId="87" applyNumberFormat="1" applyFont="1" applyFill="1" applyBorder="1" applyAlignment="1">
      <alignment horizontal="center" wrapText="1"/>
      <protection/>
    </xf>
    <xf numFmtId="37" fontId="85" fillId="0" borderId="10" xfId="0" applyNumberFormat="1" applyFont="1" applyFill="1" applyBorder="1" applyAlignment="1">
      <alignment horizontal="center" wrapText="1"/>
    </xf>
    <xf numFmtId="37" fontId="85" fillId="0" borderId="23" xfId="0" applyNumberFormat="1" applyFont="1" applyFill="1" applyBorder="1" applyAlignment="1">
      <alignment horizontal="center" wrapText="1"/>
    </xf>
    <xf numFmtId="37" fontId="85" fillId="0" borderId="0" xfId="75" applyNumberFormat="1" applyFont="1" applyFill="1" applyBorder="1" applyAlignment="1">
      <alignment horizontal="center" wrapText="1"/>
      <protection/>
    </xf>
    <xf numFmtId="37" fontId="83" fillId="0" borderId="0" xfId="0" applyNumberFormat="1" applyFont="1" applyFill="1" applyAlignment="1">
      <alignment horizontal="left" wrapText="1"/>
    </xf>
    <xf numFmtId="37" fontId="98" fillId="0" borderId="22" xfId="87" applyNumberFormat="1" applyFont="1" applyFill="1" applyBorder="1" applyAlignment="1">
      <alignment horizontal="center" wrapText="1"/>
      <protection/>
    </xf>
    <xf numFmtId="0" fontId="6" fillId="0" borderId="48" xfId="85" applyFont="1" applyFill="1" applyBorder="1" applyAlignment="1">
      <alignment horizontal="center" wrapText="1"/>
      <protection/>
    </xf>
    <xf numFmtId="0" fontId="6" fillId="0" borderId="47" xfId="85" applyFont="1" applyFill="1" applyBorder="1" applyAlignment="1">
      <alignment horizontal="center" wrapText="1"/>
      <protection/>
    </xf>
    <xf numFmtId="0" fontId="6" fillId="0" borderId="49" xfId="85" applyFont="1" applyFill="1" applyBorder="1" applyAlignment="1">
      <alignment horizontal="center" wrapText="1"/>
      <protection/>
    </xf>
    <xf numFmtId="37" fontId="4" fillId="0" borderId="18" xfId="75" applyNumberFormat="1" applyFont="1" applyFill="1" applyBorder="1" applyAlignment="1">
      <alignment horizontal="center" wrapText="1"/>
      <protection/>
    </xf>
    <xf numFmtId="0" fontId="83" fillId="0" borderId="48" xfId="85" applyFont="1" applyFill="1" applyBorder="1" applyAlignment="1">
      <alignment horizontal="center" vertical="top" wrapText="1"/>
      <protection/>
    </xf>
    <xf numFmtId="0" fontId="83" fillId="0" borderId="47" xfId="85" applyFont="1" applyFill="1" applyBorder="1" applyAlignment="1">
      <alignment horizontal="center" vertical="top" wrapText="1"/>
      <protection/>
    </xf>
    <xf numFmtId="0" fontId="7" fillId="0" borderId="30" xfId="85" applyFont="1" applyFill="1" applyBorder="1" applyAlignment="1">
      <alignment horizontal="center" wrapText="1"/>
      <protection/>
    </xf>
    <xf numFmtId="0" fontId="7" fillId="0" borderId="21" xfId="85" applyFont="1" applyFill="1" applyBorder="1" applyAlignment="1">
      <alignment horizontal="center" wrapText="1"/>
      <protection/>
    </xf>
    <xf numFmtId="0" fontId="7" fillId="0" borderId="32" xfId="85" applyFont="1" applyFill="1" applyBorder="1" applyAlignment="1">
      <alignment horizontal="center" wrapText="1"/>
      <protection/>
    </xf>
    <xf numFmtId="0" fontId="84" fillId="0" borderId="27" xfId="75" applyFont="1" applyFill="1" applyBorder="1" applyAlignment="1" quotePrefix="1">
      <alignment horizontal="center" wrapText="1"/>
      <protection/>
    </xf>
    <xf numFmtId="0" fontId="84" fillId="0" borderId="20" xfId="75" applyFont="1" applyFill="1" applyBorder="1" applyAlignment="1" quotePrefix="1">
      <alignment horizontal="center" wrapText="1"/>
      <protection/>
    </xf>
    <xf numFmtId="0" fontId="84" fillId="0" borderId="28" xfId="75" applyFont="1" applyFill="1" applyBorder="1" applyAlignment="1" quotePrefix="1">
      <alignment horizontal="center" wrapText="1"/>
      <protection/>
    </xf>
    <xf numFmtId="0" fontId="85" fillId="0" borderId="31" xfId="75" applyFont="1" applyFill="1" applyBorder="1" applyAlignment="1" quotePrefix="1">
      <alignment horizontal="center" wrapText="1"/>
      <protection/>
    </xf>
    <xf numFmtId="0" fontId="85" fillId="0" borderId="50" xfId="75" applyFont="1" applyFill="1" applyBorder="1" applyAlignment="1" quotePrefix="1">
      <alignment horizontal="center" wrapText="1"/>
      <protection/>
    </xf>
    <xf numFmtId="0" fontId="83" fillId="0" borderId="31" xfId="75" applyFont="1" applyFill="1" applyBorder="1" applyAlignment="1">
      <alignment horizontal="center" wrapText="1"/>
      <protection/>
    </xf>
    <xf numFmtId="0" fontId="83" fillId="0" borderId="50" xfId="75" applyFont="1" applyFill="1" applyBorder="1" applyAlignment="1">
      <alignment horizontal="center" wrapText="1"/>
      <protection/>
    </xf>
    <xf numFmtId="0" fontId="83" fillId="0" borderId="30" xfId="75" applyFont="1" applyFill="1" applyBorder="1" applyAlignment="1">
      <alignment horizontal="center" wrapText="1"/>
      <protection/>
    </xf>
    <xf numFmtId="0" fontId="83" fillId="0" borderId="32" xfId="75" applyFont="1" applyFill="1" applyBorder="1" applyAlignment="1">
      <alignment horizontal="center" wrapText="1"/>
      <protection/>
    </xf>
    <xf numFmtId="0" fontId="84" fillId="0" borderId="31" xfId="75" applyFont="1" applyFill="1" applyBorder="1" applyAlignment="1">
      <alignment horizontal="center" wrapText="1"/>
      <protection/>
    </xf>
    <xf numFmtId="0" fontId="84" fillId="0" borderId="12" xfId="75" applyFont="1" applyFill="1" applyBorder="1" applyAlignment="1">
      <alignment horizontal="center" wrapText="1"/>
      <protection/>
    </xf>
    <xf numFmtId="0" fontId="84" fillId="0" borderId="50" xfId="75" applyFont="1" applyFill="1" applyBorder="1" applyAlignment="1">
      <alignment horizontal="center" wrapText="1"/>
      <protection/>
    </xf>
  </cellXfs>
  <cellStyles count="93">
    <cellStyle name="Normal" xfId="0"/>
    <cellStyle name="_FeeWaiver_rvsd_TBLS24-34_7-23-01"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omma 2" xfId="45"/>
    <cellStyle name="Comma 2 2" xfId="46"/>
    <cellStyle name="Comma 3" xfId="47"/>
    <cellStyle name="Comma 4" xfId="48"/>
    <cellStyle name="Comma 4 2" xfId="49"/>
    <cellStyle name="Comma 5" xfId="50"/>
    <cellStyle name="Comma 6" xfId="51"/>
    <cellStyle name="Comma 6 2" xfId="52"/>
    <cellStyle name="Comma 7" xfId="53"/>
    <cellStyle name="Comma 7 2" xfId="54"/>
    <cellStyle name="Comma 7 3" xfId="55"/>
    <cellStyle name="Comma 7 4" xfId="56"/>
    <cellStyle name="Comma 8" xfId="57"/>
    <cellStyle name="Currency" xfId="58"/>
    <cellStyle name="Currency [0]" xfId="59"/>
    <cellStyle name="Currency 2" xfId="60"/>
    <cellStyle name="Currency 2 2" xfId="61"/>
    <cellStyle name="Currency 3" xfId="62"/>
    <cellStyle name="Currency 3 2" xfId="63"/>
    <cellStyle name="Explanatory Text" xfId="64"/>
    <cellStyle name="Good" xfId="65"/>
    <cellStyle name="Heading 1" xfId="66"/>
    <cellStyle name="Heading 2" xfId="67"/>
    <cellStyle name="Heading 3" xfId="68"/>
    <cellStyle name="Heading 4" xfId="69"/>
    <cellStyle name="Input" xfId="70"/>
    <cellStyle name="Linked Cell" xfId="71"/>
    <cellStyle name="Neutral" xfId="72"/>
    <cellStyle name="Normal 10" xfId="73"/>
    <cellStyle name="Normal 2" xfId="74"/>
    <cellStyle name="Normal 2 2" xfId="75"/>
    <cellStyle name="Normal 3" xfId="76"/>
    <cellStyle name="Normal 4" xfId="77"/>
    <cellStyle name="Normal 4 2" xfId="78"/>
    <cellStyle name="Normal 5" xfId="79"/>
    <cellStyle name="Normal 5 2" xfId="80"/>
    <cellStyle name="Normal 5 2 2" xfId="81"/>
    <cellStyle name="Normal 5 2 3" xfId="82"/>
    <cellStyle name="Normal 5 2 4" xfId="83"/>
    <cellStyle name="Normal 5 2 4 2" xfId="84"/>
    <cellStyle name="Normal 5 2 5" xfId="85"/>
    <cellStyle name="Normal 5 2 5 2" xfId="86"/>
    <cellStyle name="Normal 5 3" xfId="87"/>
    <cellStyle name="Normal 5 4" xfId="88"/>
    <cellStyle name="Normal 5 5" xfId="89"/>
    <cellStyle name="Normal 5 6" xfId="90"/>
    <cellStyle name="Normal 6" xfId="91"/>
    <cellStyle name="Normal 7" xfId="92"/>
    <cellStyle name="Normal 7 2" xfId="93"/>
    <cellStyle name="Normal 8" xfId="94"/>
    <cellStyle name="Normal 8 2" xfId="95"/>
    <cellStyle name="Normal 9" xfId="96"/>
    <cellStyle name="Note" xfId="97"/>
    <cellStyle name="Output" xfId="98"/>
    <cellStyle name="Percent" xfId="99"/>
    <cellStyle name="Percent 2" xfId="100"/>
    <cellStyle name="Percent 3" xfId="101"/>
    <cellStyle name="Percent 4" xfId="102"/>
    <cellStyle name="Style 1" xfId="103"/>
    <cellStyle name="Title" xfId="104"/>
    <cellStyle name="Total" xfId="105"/>
    <cellStyle name="Warning Text"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X51"/>
  <sheetViews>
    <sheetView tabSelected="1" zoomScale="110" zoomScaleNormal="110" zoomScalePageLayoutView="0" workbookViewId="0" topLeftCell="A1">
      <pane xSplit="2" ySplit="6" topLeftCell="C7" activePane="bottomRight" state="frozen"/>
      <selection pane="topLeft" activeCell="A1" sqref="A1"/>
      <selection pane="topRight" activeCell="C1" sqref="C1"/>
      <selection pane="bottomLeft" activeCell="A8" sqref="A8"/>
      <selection pane="bottomRight" activeCell="W2" sqref="W2"/>
    </sheetView>
  </sheetViews>
  <sheetFormatPr defaultColWidth="9.33203125" defaultRowHeight="12.75"/>
  <cols>
    <col min="1" max="1" width="2.33203125" style="41" customWidth="1"/>
    <col min="2" max="2" width="25.66015625" style="41" customWidth="1"/>
    <col min="3" max="3" width="14.16015625" style="41" bestFit="1" customWidth="1"/>
    <col min="4" max="4" width="1.83203125" style="41" customWidth="1"/>
    <col min="5" max="5" width="14.5" style="41" bestFit="1" customWidth="1"/>
    <col min="6" max="6" width="12.5" style="41" bestFit="1" customWidth="1"/>
    <col min="7" max="7" width="14.16015625" style="41" bestFit="1" customWidth="1"/>
    <col min="8" max="8" width="2.83203125" style="130" customWidth="1"/>
    <col min="9" max="9" width="12.66015625" style="41" bestFit="1" customWidth="1"/>
    <col min="10" max="10" width="1.83203125" style="41" customWidth="1"/>
    <col min="11" max="11" width="12.5" style="41" customWidth="1"/>
    <col min="12" max="13" width="1.83203125" style="41" customWidth="1"/>
    <col min="14" max="14" width="13.66015625" style="41" customWidth="1"/>
    <col min="15" max="15" width="2.83203125" style="130" customWidth="1"/>
    <col min="16" max="16" width="14.16015625" style="41" bestFit="1" customWidth="1"/>
    <col min="17" max="17" width="1.83203125" style="41" customWidth="1"/>
    <col min="18" max="18" width="14.33203125" style="41" customWidth="1"/>
    <col min="19" max="19" width="13.5" style="41" customWidth="1"/>
    <col min="20" max="20" width="14.16015625" style="41" bestFit="1" customWidth="1"/>
    <col min="21" max="21" width="2.66015625" style="41" customWidth="1"/>
    <col min="22" max="23" width="12.83203125" style="41" customWidth="1"/>
    <col min="24" max="24" width="2.16015625" style="41" customWidth="1"/>
    <col min="25" max="25" width="14.16015625" style="41" bestFit="1" customWidth="1"/>
    <col min="26" max="16384" width="9.33203125" style="41" customWidth="1"/>
  </cols>
  <sheetData>
    <row r="1" spans="2:23" ht="18" customHeight="1">
      <c r="B1" s="1" t="s">
        <v>162</v>
      </c>
      <c r="W1" s="131" t="s">
        <v>177</v>
      </c>
    </row>
    <row r="2" spans="2:23" ht="6" customHeight="1">
      <c r="B2" s="132"/>
      <c r="W2" s="133"/>
    </row>
    <row r="3" spans="2:23" s="134" customFormat="1" ht="13.5" thickBot="1">
      <c r="B3" s="135"/>
      <c r="C3" s="136">
        <v>-1</v>
      </c>
      <c r="D3" s="136"/>
      <c r="E3" s="136">
        <v>-2</v>
      </c>
      <c r="F3" s="136">
        <v>-3</v>
      </c>
      <c r="G3" s="136">
        <v>-4</v>
      </c>
      <c r="H3" s="137"/>
      <c r="I3" s="136">
        <v>-5</v>
      </c>
      <c r="J3" s="136"/>
      <c r="K3" s="320" t="s">
        <v>56</v>
      </c>
      <c r="L3" s="136"/>
      <c r="M3" s="138"/>
      <c r="N3" s="320" t="s">
        <v>57</v>
      </c>
      <c r="O3" s="139"/>
      <c r="P3" s="136">
        <v>-8</v>
      </c>
      <c r="Q3" s="136"/>
      <c r="R3" s="136">
        <v>-9</v>
      </c>
      <c r="S3" s="136">
        <v>-10</v>
      </c>
      <c r="T3" s="136">
        <v>-11</v>
      </c>
      <c r="U3" s="139"/>
      <c r="V3" s="321">
        <v>-12</v>
      </c>
      <c r="W3" s="322">
        <v>-13</v>
      </c>
    </row>
    <row r="4" spans="3:24" s="140" customFormat="1" ht="38.25" customHeight="1">
      <c r="C4" s="429" t="s">
        <v>87</v>
      </c>
      <c r="D4" s="429"/>
      <c r="E4" s="429"/>
      <c r="F4" s="429"/>
      <c r="G4" s="429"/>
      <c r="H4" s="141"/>
      <c r="I4" s="434" t="s">
        <v>77</v>
      </c>
      <c r="J4" s="434"/>
      <c r="K4" s="434"/>
      <c r="L4" s="434"/>
      <c r="M4" s="434"/>
      <c r="N4" s="434"/>
      <c r="O4" s="141"/>
      <c r="P4" s="430" t="s">
        <v>104</v>
      </c>
      <c r="Q4" s="430"/>
      <c r="R4" s="430"/>
      <c r="S4" s="430"/>
      <c r="T4" s="430"/>
      <c r="U4" s="142"/>
      <c r="V4" s="424" t="s">
        <v>108</v>
      </c>
      <c r="W4" s="425"/>
      <c r="X4" s="143"/>
    </row>
    <row r="5" spans="1:24" s="140" customFormat="1" ht="15" customHeight="1">
      <c r="A5" s="144"/>
      <c r="B5" s="144"/>
      <c r="C5" s="145"/>
      <c r="D5" s="145"/>
      <c r="E5" s="435" t="s">
        <v>107</v>
      </c>
      <c r="F5" s="145"/>
      <c r="G5" s="145"/>
      <c r="H5" s="146"/>
      <c r="I5" s="431" t="s">
        <v>55</v>
      </c>
      <c r="J5" s="431"/>
      <c r="K5" s="431"/>
      <c r="L5" s="431"/>
      <c r="M5" s="147"/>
      <c r="N5" s="148" t="s">
        <v>63</v>
      </c>
      <c r="O5" s="146"/>
      <c r="P5" s="432"/>
      <c r="Q5" s="432"/>
      <c r="R5" s="433"/>
      <c r="S5" s="433"/>
      <c r="T5" s="433"/>
      <c r="U5" s="149"/>
      <c r="V5" s="426"/>
      <c r="W5" s="427"/>
      <c r="X5" s="143"/>
    </row>
    <row r="6" spans="2:23" s="150" customFormat="1" ht="69.75" customHeight="1" thickBot="1">
      <c r="B6" s="342"/>
      <c r="C6" s="342" t="s">
        <v>88</v>
      </c>
      <c r="D6" s="342"/>
      <c r="E6" s="436"/>
      <c r="F6" s="342" t="s">
        <v>125</v>
      </c>
      <c r="G6" s="342" t="s">
        <v>65</v>
      </c>
      <c r="H6" s="151"/>
      <c r="I6" s="342" t="s">
        <v>169</v>
      </c>
      <c r="J6" s="428" t="s">
        <v>170</v>
      </c>
      <c r="K6" s="428"/>
      <c r="L6" s="428"/>
      <c r="M6" s="342"/>
      <c r="N6" s="342" t="s">
        <v>131</v>
      </c>
      <c r="O6" s="151"/>
      <c r="P6" s="342" t="s">
        <v>60</v>
      </c>
      <c r="Q6" s="342"/>
      <c r="R6" s="342" t="s">
        <v>73</v>
      </c>
      <c r="S6" s="342" t="s">
        <v>31</v>
      </c>
      <c r="T6" s="342" t="s">
        <v>132</v>
      </c>
      <c r="U6" s="151"/>
      <c r="V6" s="152" t="s">
        <v>138</v>
      </c>
      <c r="W6" s="153" t="s">
        <v>139</v>
      </c>
    </row>
    <row r="7" spans="2:23" s="154" customFormat="1" ht="33.75">
      <c r="B7" s="330"/>
      <c r="C7" s="330"/>
      <c r="D7" s="330"/>
      <c r="E7" s="330"/>
      <c r="F7" s="330"/>
      <c r="G7" s="154" t="s">
        <v>64</v>
      </c>
      <c r="H7" s="330"/>
      <c r="I7" s="154" t="s">
        <v>154</v>
      </c>
      <c r="K7" s="154" t="s">
        <v>122</v>
      </c>
      <c r="N7" s="154" t="s">
        <v>102</v>
      </c>
      <c r="O7" s="330"/>
      <c r="P7" s="155" t="s">
        <v>74</v>
      </c>
      <c r="Q7" s="155"/>
      <c r="R7" s="330" t="s">
        <v>75</v>
      </c>
      <c r="S7" s="177" t="s">
        <v>66</v>
      </c>
      <c r="T7" s="155" t="s">
        <v>76</v>
      </c>
      <c r="U7" s="330"/>
      <c r="V7" s="156" t="s">
        <v>103</v>
      </c>
      <c r="W7" s="157" t="s">
        <v>105</v>
      </c>
    </row>
    <row r="8" spans="22:23" ht="6" customHeight="1">
      <c r="V8" s="126"/>
      <c r="W8" s="125"/>
    </row>
    <row r="9" spans="2:23" s="158" customFormat="1" ht="12.75" customHeight="1">
      <c r="B9" s="159" t="s">
        <v>0</v>
      </c>
      <c r="C9" s="159">
        <v>51343309</v>
      </c>
      <c r="D9" s="159"/>
      <c r="E9" s="160">
        <v>41290853</v>
      </c>
      <c r="F9" s="346">
        <v>4090372</v>
      </c>
      <c r="G9" s="158">
        <f aca="true" t="shared" si="0" ref="G9:G31">C9+E9+F9</f>
        <v>96724534</v>
      </c>
      <c r="H9" s="159"/>
      <c r="I9" s="158">
        <f>'(B) Base Bud Adj'!AN8+'(B) Base Bud Adj'!AT8</f>
        <v>569400</v>
      </c>
      <c r="K9" s="158">
        <f>'(C) 14-15 CSU GF Adjustments'!R7</f>
        <v>3031700</v>
      </c>
      <c r="N9" s="158">
        <f>'(D) Tuition Fee Revenue'!G9+'(D) Tuition Fee Revenue'!J9+'(D) Tuition Fee Revenue'!L9</f>
        <v>1848000</v>
      </c>
      <c r="O9" s="159"/>
      <c r="P9" s="158">
        <f>C9+K9+I9</f>
        <v>54944409</v>
      </c>
      <c r="R9" s="158">
        <f aca="true" t="shared" si="1" ref="R9:R31">E9+N9</f>
        <v>43138853</v>
      </c>
      <c r="S9" s="158">
        <f aca="true" t="shared" si="2" ref="S9:S31">F9</f>
        <v>4090372</v>
      </c>
      <c r="T9" s="158">
        <f>P9+R9+S9</f>
        <v>102173634</v>
      </c>
      <c r="V9" s="222">
        <f>R9-'(E) Tuit Fee Discounts'!I8</f>
        <v>26550453</v>
      </c>
      <c r="W9" s="161">
        <f>P9+S9+V9</f>
        <v>85585234</v>
      </c>
    </row>
    <row r="10" spans="2:23" ht="12.75" customHeight="1">
      <c r="B10" s="130" t="s">
        <v>1</v>
      </c>
      <c r="C10" s="130">
        <v>48496910</v>
      </c>
      <c r="D10" s="130"/>
      <c r="E10" s="162">
        <v>26805000</v>
      </c>
      <c r="F10" s="347">
        <v>1854148</v>
      </c>
      <c r="G10" s="41">
        <f t="shared" si="0"/>
        <v>77156058</v>
      </c>
      <c r="I10" s="41">
        <f>'(B) Base Bud Adj'!AN9+'(B) Base Bud Adj'!AT9</f>
        <v>6806000</v>
      </c>
      <c r="K10" s="41">
        <f>'(C) 14-15 CSU GF Adjustments'!R8</f>
        <v>4904300</v>
      </c>
      <c r="N10" s="41">
        <f>'(D) Tuition Fee Revenue'!G10+'(D) Tuition Fee Revenue'!J10+'(D) Tuition Fee Revenue'!L10</f>
        <v>9793000</v>
      </c>
      <c r="P10" s="41">
        <f aca="true" t="shared" si="3" ref="P10:P31">C10+K10+I10</f>
        <v>60207210</v>
      </c>
      <c r="Q10" s="158"/>
      <c r="R10" s="41">
        <f t="shared" si="1"/>
        <v>36598000</v>
      </c>
      <c r="S10" s="41">
        <f t="shared" si="2"/>
        <v>1854148</v>
      </c>
      <c r="T10" s="41">
        <f>P10+R10+S10</f>
        <v>98659358</v>
      </c>
      <c r="V10" s="126">
        <f>R10-'(E) Tuit Fee Discounts'!I9</f>
        <v>27971000</v>
      </c>
      <c r="W10" s="125">
        <f aca="true" t="shared" si="4" ref="W10:W31">P10+V10+S10</f>
        <v>90032358</v>
      </c>
    </row>
    <row r="11" spans="2:23" ht="12.75" customHeight="1">
      <c r="B11" s="130" t="s">
        <v>2</v>
      </c>
      <c r="C11" s="130">
        <v>85954532</v>
      </c>
      <c r="D11" s="130"/>
      <c r="E11" s="162">
        <v>82084000</v>
      </c>
      <c r="F11" s="347">
        <v>10561000</v>
      </c>
      <c r="G11" s="41">
        <f t="shared" si="0"/>
        <v>178599532</v>
      </c>
      <c r="I11" s="41">
        <f>'(B) Base Bud Adj'!AN10+'(B) Base Bud Adj'!AT10</f>
        <v>1207400</v>
      </c>
      <c r="K11" s="41">
        <f>'(C) 14-15 CSU GF Adjustments'!R9</f>
        <v>5083100</v>
      </c>
      <c r="N11" s="41">
        <f>'(D) Tuition Fee Revenue'!G11+'(D) Tuition Fee Revenue'!J11+'(D) Tuition Fee Revenue'!L11</f>
        <v>2509000</v>
      </c>
      <c r="P11" s="41">
        <f t="shared" si="3"/>
        <v>92245032</v>
      </c>
      <c r="Q11" s="158"/>
      <c r="R11" s="41">
        <f t="shared" si="1"/>
        <v>84593000</v>
      </c>
      <c r="S11" s="41">
        <f t="shared" si="2"/>
        <v>10561000</v>
      </c>
      <c r="T11" s="41">
        <f aca="true" t="shared" si="5" ref="T11:T31">P11+R11+S11</f>
        <v>187399032</v>
      </c>
      <c r="V11" s="126">
        <f>R11-'(E) Tuit Fee Discounts'!I10</f>
        <v>62689000</v>
      </c>
      <c r="W11" s="125">
        <f t="shared" si="4"/>
        <v>165495032</v>
      </c>
    </row>
    <row r="12" spans="2:23" ht="12.75" customHeight="1">
      <c r="B12" s="130" t="s">
        <v>3</v>
      </c>
      <c r="C12" s="130">
        <v>61880052</v>
      </c>
      <c r="D12" s="130"/>
      <c r="E12" s="162">
        <v>65284000</v>
      </c>
      <c r="F12" s="347">
        <v>3865000</v>
      </c>
      <c r="G12" s="41">
        <f t="shared" si="0"/>
        <v>131029052</v>
      </c>
      <c r="I12" s="41">
        <f>'(B) Base Bud Adj'!AN11+'(B) Base Bud Adj'!AT11</f>
        <v>-131400</v>
      </c>
      <c r="K12" s="41">
        <f>'(C) 14-15 CSU GF Adjustments'!R10</f>
        <v>3993500</v>
      </c>
      <c r="N12" s="41">
        <f>'(D) Tuition Fee Revenue'!G12+'(D) Tuition Fee Revenue'!J12+'(D) Tuition Fee Revenue'!L12</f>
        <v>2141000</v>
      </c>
      <c r="P12" s="41">
        <f t="shared" si="3"/>
        <v>65742152</v>
      </c>
      <c r="Q12" s="158"/>
      <c r="R12" s="41">
        <f t="shared" si="1"/>
        <v>67425000</v>
      </c>
      <c r="S12" s="41">
        <f t="shared" si="2"/>
        <v>3865000</v>
      </c>
      <c r="T12" s="41">
        <f t="shared" si="5"/>
        <v>137032152</v>
      </c>
      <c r="V12" s="126">
        <f>R12-'(E) Tuit Fee Discounts'!I11</f>
        <v>39207500</v>
      </c>
      <c r="W12" s="125">
        <f t="shared" si="4"/>
        <v>108814652</v>
      </c>
    </row>
    <row r="13" spans="2:23" ht="12.75" customHeight="1">
      <c r="B13" s="130" t="s">
        <v>28</v>
      </c>
      <c r="C13" s="130">
        <v>67147261</v>
      </c>
      <c r="D13" s="130"/>
      <c r="E13" s="162">
        <v>78141128</v>
      </c>
      <c r="F13" s="347">
        <v>21496935</v>
      </c>
      <c r="G13" s="41">
        <f t="shared" si="0"/>
        <v>166785324</v>
      </c>
      <c r="I13" s="41">
        <f>'(B) Base Bud Adj'!AN12+'(B) Base Bud Adj'!AT12</f>
        <v>1762600</v>
      </c>
      <c r="K13" s="41">
        <f>'(C) 14-15 CSU GF Adjustments'!R11</f>
        <v>5169700</v>
      </c>
      <c r="N13" s="41">
        <f>'(D) Tuition Fee Revenue'!G13+'(D) Tuition Fee Revenue'!J13+'(D) Tuition Fee Revenue'!L13</f>
        <v>3100000</v>
      </c>
      <c r="P13" s="41">
        <f t="shared" si="3"/>
        <v>74079561</v>
      </c>
      <c r="Q13" s="158"/>
      <c r="R13" s="41">
        <f t="shared" si="1"/>
        <v>81241128</v>
      </c>
      <c r="S13" s="41">
        <f t="shared" si="2"/>
        <v>21496935</v>
      </c>
      <c r="T13" s="41">
        <f t="shared" si="5"/>
        <v>176817624</v>
      </c>
      <c r="V13" s="126">
        <f>R13-'(E) Tuit Fee Discounts'!I12</f>
        <v>59095328</v>
      </c>
      <c r="W13" s="125">
        <f t="shared" si="4"/>
        <v>154671824</v>
      </c>
    </row>
    <row r="14" spans="2:23" ht="12.75" customHeight="1">
      <c r="B14" s="130" t="s">
        <v>4</v>
      </c>
      <c r="C14" s="130">
        <v>108604732</v>
      </c>
      <c r="D14" s="130"/>
      <c r="E14" s="162">
        <v>108469680</v>
      </c>
      <c r="F14" s="347">
        <v>10178825</v>
      </c>
      <c r="G14" s="41">
        <f t="shared" si="0"/>
        <v>227253237</v>
      </c>
      <c r="I14" s="41">
        <f>'(B) Base Bud Adj'!AN13+'(B) Base Bud Adj'!AT13</f>
        <v>2332000</v>
      </c>
      <c r="K14" s="41">
        <f>'(C) 14-15 CSU GF Adjustments'!R12</f>
        <v>7519100</v>
      </c>
      <c r="N14" s="41">
        <f>'(D) Tuition Fee Revenue'!G14+'(D) Tuition Fee Revenue'!J14+'(D) Tuition Fee Revenue'!L14</f>
        <v>3099000</v>
      </c>
      <c r="P14" s="41">
        <f t="shared" si="3"/>
        <v>118455832</v>
      </c>
      <c r="Q14" s="158"/>
      <c r="R14" s="41">
        <f t="shared" si="1"/>
        <v>111568680</v>
      </c>
      <c r="S14" s="41">
        <f t="shared" si="2"/>
        <v>10178825</v>
      </c>
      <c r="T14" s="41">
        <f t="shared" si="5"/>
        <v>240203337</v>
      </c>
      <c r="V14" s="126">
        <f>R14-'(E) Tuit Fee Discounts'!I13</f>
        <v>74573480</v>
      </c>
      <c r="W14" s="125">
        <f t="shared" si="4"/>
        <v>203208137</v>
      </c>
    </row>
    <row r="15" spans="2:23" ht="12.75" customHeight="1">
      <c r="B15" s="130" t="s">
        <v>5</v>
      </c>
      <c r="C15" s="130">
        <v>130064361</v>
      </c>
      <c r="D15" s="130"/>
      <c r="E15" s="162">
        <v>190640586</v>
      </c>
      <c r="F15" s="347">
        <v>21567109</v>
      </c>
      <c r="G15" s="41">
        <f t="shared" si="0"/>
        <v>342272056</v>
      </c>
      <c r="I15" s="41">
        <f>'(B) Base Bud Adj'!AN14+'(B) Base Bud Adj'!AT14</f>
        <v>3774000</v>
      </c>
      <c r="K15" s="41">
        <f>'(C) 14-15 CSU GF Adjustments'!R13</f>
        <v>10555700</v>
      </c>
      <c r="N15" s="41">
        <f>'(D) Tuition Fee Revenue'!G15+'(D) Tuition Fee Revenue'!J15+'(D) Tuition Fee Revenue'!L15</f>
        <v>5457000</v>
      </c>
      <c r="P15" s="41">
        <f t="shared" si="3"/>
        <v>144394061</v>
      </c>
      <c r="Q15" s="158"/>
      <c r="R15" s="41">
        <f t="shared" si="1"/>
        <v>196097586</v>
      </c>
      <c r="S15" s="41">
        <f t="shared" si="2"/>
        <v>21567109</v>
      </c>
      <c r="T15" s="41">
        <f t="shared" si="5"/>
        <v>362058756</v>
      </c>
      <c r="V15" s="126">
        <f>R15-'(E) Tuit Fee Discounts'!I14</f>
        <v>146455986</v>
      </c>
      <c r="W15" s="125">
        <f t="shared" si="4"/>
        <v>312417156</v>
      </c>
    </row>
    <row r="16" spans="2:23" ht="12.75" customHeight="1">
      <c r="B16" s="130" t="s">
        <v>6</v>
      </c>
      <c r="C16" s="130">
        <v>60415210</v>
      </c>
      <c r="D16" s="130"/>
      <c r="E16" s="162">
        <v>43010000</v>
      </c>
      <c r="F16" s="347">
        <v>8922305</v>
      </c>
      <c r="G16" s="41">
        <f t="shared" si="0"/>
        <v>112347515</v>
      </c>
      <c r="I16" s="41">
        <f>'(B) Base Bud Adj'!AN15+'(B) Base Bud Adj'!AT15</f>
        <v>301900</v>
      </c>
      <c r="K16" s="41">
        <f>'(C) 14-15 CSU GF Adjustments'!R14</f>
        <v>3141000</v>
      </c>
      <c r="N16" s="41">
        <f>'(D) Tuition Fee Revenue'!G16+'(D) Tuition Fee Revenue'!J16+'(D) Tuition Fee Revenue'!L16</f>
        <v>1085000</v>
      </c>
      <c r="P16" s="41">
        <f t="shared" si="3"/>
        <v>63858110</v>
      </c>
      <c r="Q16" s="158"/>
      <c r="R16" s="41">
        <f t="shared" si="1"/>
        <v>44095000</v>
      </c>
      <c r="S16" s="41">
        <f t="shared" si="2"/>
        <v>8922305</v>
      </c>
      <c r="T16" s="41">
        <f t="shared" si="5"/>
        <v>116875415</v>
      </c>
      <c r="V16" s="126">
        <f>R16-'(E) Tuit Fee Discounts'!I15</f>
        <v>30883700</v>
      </c>
      <c r="W16" s="125">
        <f t="shared" si="4"/>
        <v>103664115</v>
      </c>
    </row>
    <row r="17" spans="2:23" ht="12.75" customHeight="1">
      <c r="B17" s="130" t="s">
        <v>7</v>
      </c>
      <c r="C17" s="130">
        <v>141554836.16</v>
      </c>
      <c r="D17" s="130"/>
      <c r="E17" s="162">
        <v>183009177</v>
      </c>
      <c r="F17" s="347">
        <v>28302436</v>
      </c>
      <c r="G17" s="41">
        <f t="shared" si="0"/>
        <v>352866449.15999997</v>
      </c>
      <c r="I17" s="41">
        <f>'(B) Base Bud Adj'!AN16+'(B) Base Bud Adj'!AT16</f>
        <v>4536400</v>
      </c>
      <c r="K17" s="41">
        <f>'(C) 14-15 CSU GF Adjustments'!R15</f>
        <v>10850600</v>
      </c>
      <c r="N17" s="41">
        <f>'(D) Tuition Fee Revenue'!G17+'(D) Tuition Fee Revenue'!J17+'(D) Tuition Fee Revenue'!L17</f>
        <v>7611000</v>
      </c>
      <c r="P17" s="41">
        <f t="shared" si="3"/>
        <v>156941836.16</v>
      </c>
      <c r="Q17" s="158"/>
      <c r="R17" s="41">
        <f t="shared" si="1"/>
        <v>190620177</v>
      </c>
      <c r="S17" s="41">
        <f t="shared" si="2"/>
        <v>28302436</v>
      </c>
      <c r="T17" s="41">
        <f t="shared" si="5"/>
        <v>375864449.15999997</v>
      </c>
      <c r="V17" s="126">
        <f>R17-'(E) Tuit Fee Discounts'!I16</f>
        <v>138575777</v>
      </c>
      <c r="W17" s="125">
        <f t="shared" si="4"/>
        <v>323820049.15999997</v>
      </c>
    </row>
    <row r="18" spans="2:23" ht="12.75" customHeight="1">
      <c r="B18" s="130" t="s">
        <v>8</v>
      </c>
      <c r="C18" s="130">
        <v>103544039</v>
      </c>
      <c r="D18" s="130"/>
      <c r="E18" s="162">
        <v>112888040</v>
      </c>
      <c r="F18" s="347">
        <v>18223954</v>
      </c>
      <c r="G18" s="41">
        <f t="shared" si="0"/>
        <v>234656033</v>
      </c>
      <c r="I18" s="41">
        <f>'(B) Base Bud Adj'!AN17+'(B) Base Bud Adj'!AT17</f>
        <v>2131000</v>
      </c>
      <c r="K18" s="41">
        <f>'(C) 14-15 CSU GF Adjustments'!R16</f>
        <v>6522000</v>
      </c>
      <c r="N18" s="41">
        <f>'(D) Tuition Fee Revenue'!G18+'(D) Tuition Fee Revenue'!J18+'(D) Tuition Fee Revenue'!L18</f>
        <v>2381000</v>
      </c>
      <c r="P18" s="41">
        <f t="shared" si="3"/>
        <v>112197039</v>
      </c>
      <c r="Q18" s="158"/>
      <c r="R18" s="41">
        <f t="shared" si="1"/>
        <v>115269040</v>
      </c>
      <c r="S18" s="41">
        <f t="shared" si="2"/>
        <v>18223954</v>
      </c>
      <c r="T18" s="41">
        <f t="shared" si="5"/>
        <v>245690033</v>
      </c>
      <c r="V18" s="126">
        <f>R18-'(E) Tuit Fee Discounts'!I17</f>
        <v>71044740</v>
      </c>
      <c r="W18" s="125">
        <f t="shared" si="4"/>
        <v>201465733</v>
      </c>
    </row>
    <row r="19" spans="2:23" ht="12.75" customHeight="1">
      <c r="B19" s="130" t="s">
        <v>9</v>
      </c>
      <c r="C19" s="130">
        <v>23184576</v>
      </c>
      <c r="D19" s="130"/>
      <c r="E19" s="162">
        <v>5679278</v>
      </c>
      <c r="F19" s="347">
        <v>3940871</v>
      </c>
      <c r="G19" s="41">
        <f t="shared" si="0"/>
        <v>32804725</v>
      </c>
      <c r="I19" s="41">
        <f>'(B) Base Bud Adj'!AN18+'(B) Base Bud Adj'!AT18</f>
        <v>726100</v>
      </c>
      <c r="K19" s="41">
        <f>'(C) 14-15 CSU GF Adjustments'!R17</f>
        <v>2107600</v>
      </c>
      <c r="N19" s="41">
        <f>'(D) Tuition Fee Revenue'!G19+'(D) Tuition Fee Revenue'!J19+'(D) Tuition Fee Revenue'!L19</f>
        <v>923000</v>
      </c>
      <c r="P19" s="41">
        <f t="shared" si="3"/>
        <v>26018276</v>
      </c>
      <c r="Q19" s="158"/>
      <c r="R19" s="41">
        <f t="shared" si="1"/>
        <v>6602278</v>
      </c>
      <c r="S19" s="41">
        <f t="shared" si="2"/>
        <v>3940871</v>
      </c>
      <c r="T19" s="41">
        <f t="shared" si="5"/>
        <v>36561425</v>
      </c>
      <c r="V19" s="126">
        <f>R19-'(E) Tuit Fee Discounts'!I18</f>
        <v>4720378</v>
      </c>
      <c r="W19" s="125">
        <f t="shared" si="4"/>
        <v>34679525</v>
      </c>
    </row>
    <row r="20" spans="2:23" ht="12.75" customHeight="1">
      <c r="B20" s="130" t="s">
        <v>10</v>
      </c>
      <c r="C20" s="130">
        <v>52092783</v>
      </c>
      <c r="D20" s="130"/>
      <c r="E20" s="162">
        <f>24979203-544932</f>
        <v>24434271</v>
      </c>
      <c r="F20" s="347">
        <f>2320429-27900-8175</f>
        <v>2284354</v>
      </c>
      <c r="G20" s="41">
        <f t="shared" si="0"/>
        <v>78811408</v>
      </c>
      <c r="I20" s="41">
        <f>'(B) Base Bud Adj'!AN19+'(B) Base Bud Adj'!AT19</f>
        <v>1157200</v>
      </c>
      <c r="K20" s="41">
        <f>'(C) 14-15 CSU GF Adjustments'!R18</f>
        <v>3995000</v>
      </c>
      <c r="N20" s="41">
        <f>'(D) Tuition Fee Revenue'!G20+'(D) Tuition Fee Revenue'!J20+'(D) Tuition Fee Revenue'!L20</f>
        <v>3613000</v>
      </c>
      <c r="P20" s="41">
        <f t="shared" si="3"/>
        <v>57244983</v>
      </c>
      <c r="Q20" s="158"/>
      <c r="R20" s="41">
        <f t="shared" si="1"/>
        <v>28047271</v>
      </c>
      <c r="S20" s="41">
        <f t="shared" si="2"/>
        <v>2284354</v>
      </c>
      <c r="T20" s="41">
        <f t="shared" si="5"/>
        <v>87576608</v>
      </c>
      <c r="V20" s="126">
        <f>R20-'(E) Tuit Fee Discounts'!I19</f>
        <v>18261771</v>
      </c>
      <c r="W20" s="125">
        <f t="shared" si="4"/>
        <v>77791108</v>
      </c>
    </row>
    <row r="21" spans="2:23" ht="12.75" customHeight="1">
      <c r="B21" s="130" t="s">
        <v>11</v>
      </c>
      <c r="C21" s="130">
        <v>141659296</v>
      </c>
      <c r="D21" s="130"/>
      <c r="E21" s="162">
        <v>176471692</v>
      </c>
      <c r="F21" s="347">
        <v>34865570</v>
      </c>
      <c r="G21" s="41">
        <f t="shared" si="0"/>
        <v>352996558</v>
      </c>
      <c r="I21" s="41">
        <f>'(B) Base Bud Adj'!AN20+'(B) Base Bud Adj'!AT20</f>
        <v>2070800</v>
      </c>
      <c r="K21" s="41">
        <f>'(C) 14-15 CSU GF Adjustments'!R19</f>
        <v>10512300</v>
      </c>
      <c r="N21" s="41">
        <f>'(D) Tuition Fee Revenue'!G21+'(D) Tuition Fee Revenue'!J21+'(D) Tuition Fee Revenue'!L21</f>
        <v>102000</v>
      </c>
      <c r="P21" s="41">
        <f t="shared" si="3"/>
        <v>154242396</v>
      </c>
      <c r="Q21" s="158"/>
      <c r="R21" s="41">
        <f t="shared" si="1"/>
        <v>176573692</v>
      </c>
      <c r="S21" s="41">
        <f t="shared" si="2"/>
        <v>34865570</v>
      </c>
      <c r="T21" s="41">
        <f t="shared" si="5"/>
        <v>365681658</v>
      </c>
      <c r="V21" s="126">
        <f>R21-'(E) Tuit Fee Discounts'!I20</f>
        <v>122166892</v>
      </c>
      <c r="W21" s="125">
        <f t="shared" si="4"/>
        <v>311274858</v>
      </c>
    </row>
    <row r="22" spans="2:23" ht="12.75" customHeight="1">
      <c r="B22" s="130" t="s">
        <v>12</v>
      </c>
      <c r="C22" s="130">
        <v>103516842</v>
      </c>
      <c r="D22" s="130"/>
      <c r="E22" s="162">
        <v>109599000</v>
      </c>
      <c r="F22" s="347">
        <v>13561000</v>
      </c>
      <c r="G22" s="41">
        <f t="shared" si="0"/>
        <v>226676842</v>
      </c>
      <c r="I22" s="41">
        <f>'(B) Base Bud Adj'!AN21+'(B) Base Bud Adj'!AT21</f>
        <v>1750200</v>
      </c>
      <c r="K22" s="41">
        <f>'(C) 14-15 CSU GF Adjustments'!R20</f>
        <v>7068300</v>
      </c>
      <c r="N22" s="41">
        <f>'(D) Tuition Fee Revenue'!G22+'(D) Tuition Fee Revenue'!J22+'(D) Tuition Fee Revenue'!L22</f>
        <v>2951000</v>
      </c>
      <c r="P22" s="41">
        <f t="shared" si="3"/>
        <v>112335342</v>
      </c>
      <c r="Q22" s="158"/>
      <c r="R22" s="41">
        <f t="shared" si="1"/>
        <v>112550000</v>
      </c>
      <c r="S22" s="41">
        <f t="shared" si="2"/>
        <v>13561000</v>
      </c>
      <c r="T22" s="41">
        <f t="shared" si="5"/>
        <v>238446342</v>
      </c>
      <c r="V22" s="126">
        <f>R22-'(E) Tuit Fee Discounts'!I21</f>
        <v>81974800</v>
      </c>
      <c r="W22" s="125">
        <f t="shared" si="4"/>
        <v>207871142</v>
      </c>
    </row>
    <row r="23" spans="2:23" ht="12.75" customHeight="1">
      <c r="B23" s="130" t="s">
        <v>13</v>
      </c>
      <c r="C23" s="130">
        <v>116988137</v>
      </c>
      <c r="D23" s="130"/>
      <c r="E23" s="162">
        <v>139360000</v>
      </c>
      <c r="F23" s="347">
        <v>15870917</v>
      </c>
      <c r="G23" s="41">
        <f t="shared" si="0"/>
        <v>272219054</v>
      </c>
      <c r="I23" s="41">
        <f>'(B) Base Bud Adj'!AN22+'(B) Base Bud Adj'!AT22</f>
        <v>2344400</v>
      </c>
      <c r="K23" s="41">
        <f>'(C) 14-15 CSU GF Adjustments'!R21</f>
        <v>7004900</v>
      </c>
      <c r="N23" s="41">
        <f>'(D) Tuition Fee Revenue'!G23+'(D) Tuition Fee Revenue'!J23+'(D) Tuition Fee Revenue'!L23</f>
        <v>4037000</v>
      </c>
      <c r="P23" s="41">
        <f t="shared" si="3"/>
        <v>126337437</v>
      </c>
      <c r="Q23" s="158"/>
      <c r="R23" s="41">
        <f t="shared" si="1"/>
        <v>143397000</v>
      </c>
      <c r="S23" s="41">
        <f t="shared" si="2"/>
        <v>15870917</v>
      </c>
      <c r="T23" s="41">
        <f t="shared" si="5"/>
        <v>285605354</v>
      </c>
      <c r="V23" s="126">
        <f>R23-'(E) Tuit Fee Discounts'!I22</f>
        <v>100479300</v>
      </c>
      <c r="W23" s="125">
        <f t="shared" si="4"/>
        <v>242687654</v>
      </c>
    </row>
    <row r="24" spans="2:23" ht="12.75" customHeight="1">
      <c r="B24" s="130" t="s">
        <v>14</v>
      </c>
      <c r="C24" s="130">
        <v>78595208</v>
      </c>
      <c r="D24" s="130"/>
      <c r="E24" s="162">
        <v>90378997</v>
      </c>
      <c r="F24" s="347">
        <v>21959013</v>
      </c>
      <c r="G24" s="41">
        <f t="shared" si="0"/>
        <v>190933218</v>
      </c>
      <c r="I24" s="41">
        <f>'(B) Base Bud Adj'!AN23+'(B) Base Bud Adj'!AT23</f>
        <v>1763000</v>
      </c>
      <c r="K24" s="41">
        <f>'(C) 14-15 CSU GF Adjustments'!R22</f>
        <v>6503000</v>
      </c>
      <c r="N24" s="41">
        <f>'(D) Tuition Fee Revenue'!G24+'(D) Tuition Fee Revenue'!J24+'(D) Tuition Fee Revenue'!L24</f>
        <v>5523000</v>
      </c>
      <c r="P24" s="41">
        <f t="shared" si="3"/>
        <v>86861208</v>
      </c>
      <c r="Q24" s="158"/>
      <c r="R24" s="41">
        <f t="shared" si="1"/>
        <v>95901997</v>
      </c>
      <c r="S24" s="41">
        <f t="shared" si="2"/>
        <v>21959013</v>
      </c>
      <c r="T24" s="41">
        <f t="shared" si="5"/>
        <v>204722218</v>
      </c>
      <c r="V24" s="126">
        <f>R24-'(E) Tuit Fee Discounts'!I23</f>
        <v>62585097</v>
      </c>
      <c r="W24" s="125">
        <f t="shared" si="4"/>
        <v>171405318</v>
      </c>
    </row>
    <row r="25" spans="2:23" ht="12.75" customHeight="1">
      <c r="B25" s="130" t="s">
        <v>15</v>
      </c>
      <c r="C25" s="130">
        <v>143411096</v>
      </c>
      <c r="D25" s="130"/>
      <c r="E25" s="162">
        <v>165307988</v>
      </c>
      <c r="F25" s="347">
        <v>37317351</v>
      </c>
      <c r="G25" s="41">
        <f t="shared" si="0"/>
        <v>346036435</v>
      </c>
      <c r="I25" s="41">
        <f>'(B) Base Bud Adj'!AN24+'(B) Base Bud Adj'!AT24</f>
        <v>1740100</v>
      </c>
      <c r="K25" s="41">
        <f>'(C) 14-15 CSU GF Adjustments'!R23</f>
        <v>8595600</v>
      </c>
      <c r="N25" s="41">
        <f>'(D) Tuition Fee Revenue'!G25+'(D) Tuition Fee Revenue'!J25+'(D) Tuition Fee Revenue'!L25</f>
        <v>1245000</v>
      </c>
      <c r="P25" s="41">
        <f t="shared" si="3"/>
        <v>153746796</v>
      </c>
      <c r="Q25" s="158"/>
      <c r="R25" s="41">
        <f t="shared" si="1"/>
        <v>166552988</v>
      </c>
      <c r="S25" s="41">
        <f t="shared" si="2"/>
        <v>37317351</v>
      </c>
      <c r="T25" s="41">
        <f t="shared" si="5"/>
        <v>357617135</v>
      </c>
      <c r="V25" s="126">
        <f>R25-'(E) Tuit Fee Discounts'!I24</f>
        <v>126046188</v>
      </c>
      <c r="W25" s="125">
        <f t="shared" si="4"/>
        <v>317110335</v>
      </c>
    </row>
    <row r="26" spans="2:23" ht="12.75" customHeight="1">
      <c r="B26" s="130" t="s">
        <v>16</v>
      </c>
      <c r="C26" s="130">
        <v>120275359</v>
      </c>
      <c r="D26" s="130"/>
      <c r="E26" s="162">
        <v>150000000</v>
      </c>
      <c r="F26" s="347">
        <v>30824962</v>
      </c>
      <c r="G26" s="41">
        <f t="shared" si="0"/>
        <v>301100321</v>
      </c>
      <c r="I26" s="41">
        <f>'(B) Base Bud Adj'!AN25+'(B) Base Bud Adj'!AT25</f>
        <v>2928300</v>
      </c>
      <c r="K26" s="41">
        <f>'(C) 14-15 CSU GF Adjustments'!R24</f>
        <v>8329200</v>
      </c>
      <c r="N26" s="41">
        <f>'(D) Tuition Fee Revenue'!G26+'(D) Tuition Fee Revenue'!J26+'(D) Tuition Fee Revenue'!L26</f>
        <v>919000</v>
      </c>
      <c r="P26" s="41">
        <f t="shared" si="3"/>
        <v>131532859</v>
      </c>
      <c r="Q26" s="158"/>
      <c r="R26" s="41">
        <f t="shared" si="1"/>
        <v>150919000</v>
      </c>
      <c r="S26" s="41">
        <f t="shared" si="2"/>
        <v>30824962</v>
      </c>
      <c r="T26" s="41">
        <f t="shared" si="5"/>
        <v>313276821</v>
      </c>
      <c r="V26" s="126">
        <f>R26-'(E) Tuit Fee Discounts'!I25</f>
        <v>106543800</v>
      </c>
      <c r="W26" s="125">
        <f t="shared" si="4"/>
        <v>268901621</v>
      </c>
    </row>
    <row r="27" spans="2:23" ht="12.75" customHeight="1">
      <c r="B27" s="130" t="s">
        <v>17</v>
      </c>
      <c r="C27" s="130">
        <v>111094782</v>
      </c>
      <c r="D27" s="130"/>
      <c r="E27" s="162">
        <v>143022000</v>
      </c>
      <c r="F27" s="347">
        <v>42015427</v>
      </c>
      <c r="G27" s="41">
        <f t="shared" si="0"/>
        <v>296132209</v>
      </c>
      <c r="I27" s="41">
        <f>'(B) Base Bud Adj'!AN26+'(B) Base Bud Adj'!AT26</f>
        <v>4276100</v>
      </c>
      <c r="K27" s="41">
        <f>'(C) 14-15 CSU GF Adjustments'!R25</f>
        <v>8680500</v>
      </c>
      <c r="N27" s="41">
        <f>'(D) Tuition Fee Revenue'!G27+'(D) Tuition Fee Revenue'!J27+'(D) Tuition Fee Revenue'!L27</f>
        <v>3810000</v>
      </c>
      <c r="P27" s="41">
        <f t="shared" si="3"/>
        <v>124051382</v>
      </c>
      <c r="Q27" s="158"/>
      <c r="R27" s="41">
        <f t="shared" si="1"/>
        <v>146832000</v>
      </c>
      <c r="S27" s="41">
        <f t="shared" si="2"/>
        <v>42015427</v>
      </c>
      <c r="T27" s="41">
        <f t="shared" si="5"/>
        <v>312898809</v>
      </c>
      <c r="V27" s="126">
        <f>R27-'(E) Tuit Fee Discounts'!I26</f>
        <v>108626600</v>
      </c>
      <c r="W27" s="125">
        <f t="shared" si="4"/>
        <v>274693409</v>
      </c>
    </row>
    <row r="28" spans="2:23" ht="12.75" customHeight="1">
      <c r="B28" s="130" t="s">
        <v>18</v>
      </c>
      <c r="C28" s="130">
        <v>95997068</v>
      </c>
      <c r="D28" s="130"/>
      <c r="E28" s="162">
        <v>99340000</v>
      </c>
      <c r="F28" s="347">
        <v>54988000</v>
      </c>
      <c r="G28" s="41">
        <f t="shared" si="0"/>
        <v>250325068</v>
      </c>
      <c r="I28" s="41">
        <f>'(B) Base Bud Adj'!AN27+'(B) Base Bud Adj'!AT27</f>
        <v>1824800</v>
      </c>
      <c r="K28" s="41">
        <f>'(C) 14-15 CSU GF Adjustments'!R26</f>
        <v>7650100</v>
      </c>
      <c r="N28" s="41">
        <f>'(D) Tuition Fee Revenue'!G28+'(D) Tuition Fee Revenue'!J28+'(D) Tuition Fee Revenue'!L28</f>
        <v>2999000</v>
      </c>
      <c r="P28" s="41">
        <f t="shared" si="3"/>
        <v>105471968</v>
      </c>
      <c r="Q28" s="158"/>
      <c r="R28" s="41">
        <f t="shared" si="1"/>
        <v>102339000</v>
      </c>
      <c r="S28" s="41">
        <f t="shared" si="2"/>
        <v>54988000</v>
      </c>
      <c r="T28" s="41">
        <f t="shared" si="5"/>
        <v>262798968</v>
      </c>
      <c r="V28" s="126">
        <f>R28-'(E) Tuit Fee Discounts'!I27</f>
        <v>89057500</v>
      </c>
      <c r="W28" s="125">
        <f t="shared" si="4"/>
        <v>249517468</v>
      </c>
    </row>
    <row r="29" spans="2:23" ht="12.75" customHeight="1">
      <c r="B29" s="130" t="s">
        <v>19</v>
      </c>
      <c r="C29" s="130">
        <v>55597552</v>
      </c>
      <c r="D29" s="130"/>
      <c r="E29" s="162">
        <v>49145000</v>
      </c>
      <c r="F29" s="347">
        <v>10781000</v>
      </c>
      <c r="G29" s="41">
        <f t="shared" si="0"/>
        <v>115523552</v>
      </c>
      <c r="I29" s="41">
        <f>'(B) Base Bud Adj'!AN28+'(B) Base Bud Adj'!AT28</f>
        <v>1155900</v>
      </c>
      <c r="K29" s="41">
        <f>'(C) 14-15 CSU GF Adjustments'!R27</f>
        <v>5515100</v>
      </c>
      <c r="N29" s="41">
        <f>'(D) Tuition Fee Revenue'!G29+'(D) Tuition Fee Revenue'!J29+'(D) Tuition Fee Revenue'!L29</f>
        <v>2777000</v>
      </c>
      <c r="P29" s="41">
        <f t="shared" si="3"/>
        <v>62268552</v>
      </c>
      <c r="Q29" s="158"/>
      <c r="R29" s="41">
        <f t="shared" si="1"/>
        <v>51922000</v>
      </c>
      <c r="S29" s="41">
        <f t="shared" si="2"/>
        <v>10781000</v>
      </c>
      <c r="T29" s="41">
        <f t="shared" si="5"/>
        <v>124971552</v>
      </c>
      <c r="V29" s="126">
        <f>R29-'(E) Tuit Fee Discounts'!I28</f>
        <v>35754200</v>
      </c>
      <c r="W29" s="125">
        <f t="shared" si="4"/>
        <v>108803752</v>
      </c>
    </row>
    <row r="30" spans="2:23" ht="12.75" customHeight="1">
      <c r="B30" s="130" t="s">
        <v>20</v>
      </c>
      <c r="C30" s="130">
        <v>49467083</v>
      </c>
      <c r="D30" s="130"/>
      <c r="E30" s="162">
        <v>44580800</v>
      </c>
      <c r="F30" s="347">
        <v>5577199</v>
      </c>
      <c r="G30" s="41">
        <f t="shared" si="0"/>
        <v>99625082</v>
      </c>
      <c r="I30" s="41">
        <f>'(B) Base Bud Adj'!AN29+'(B) Base Bud Adj'!AT29</f>
        <v>602300</v>
      </c>
      <c r="K30" s="41">
        <f>'(C) 14-15 CSU GF Adjustments'!R28</f>
        <v>3673100</v>
      </c>
      <c r="N30" s="41">
        <f>'(D) Tuition Fee Revenue'!G30+'(D) Tuition Fee Revenue'!J30+'(D) Tuition Fee Revenue'!L30</f>
        <v>2085000</v>
      </c>
      <c r="P30" s="41">
        <f t="shared" si="3"/>
        <v>53742483</v>
      </c>
      <c r="Q30" s="158"/>
      <c r="R30" s="41">
        <f t="shared" si="1"/>
        <v>46665800</v>
      </c>
      <c r="S30" s="41">
        <f t="shared" si="2"/>
        <v>5577199</v>
      </c>
      <c r="T30" s="41">
        <f t="shared" si="5"/>
        <v>105985482</v>
      </c>
      <c r="V30" s="126">
        <f>R30-'(E) Tuit Fee Discounts'!I29</f>
        <v>36915700</v>
      </c>
      <c r="W30" s="125">
        <f t="shared" si="4"/>
        <v>96235382</v>
      </c>
    </row>
    <row r="31" spans="2:23" ht="12.75" customHeight="1">
      <c r="B31" s="130" t="s">
        <v>21</v>
      </c>
      <c r="C31" s="130">
        <v>49835547</v>
      </c>
      <c r="D31" s="130"/>
      <c r="E31" s="162">
        <v>43140227</v>
      </c>
      <c r="F31" s="347">
        <v>5220855</v>
      </c>
      <c r="G31" s="41">
        <f t="shared" si="0"/>
        <v>98196629</v>
      </c>
      <c r="I31" s="41">
        <f>'(B) Base Bud Adj'!AN30+'(B) Base Bud Adj'!AT30</f>
        <v>-72900</v>
      </c>
      <c r="K31" s="41">
        <f>'(C) 14-15 CSU GF Adjustments'!R29</f>
        <v>2979900</v>
      </c>
      <c r="N31" s="41">
        <f>'(D) Tuition Fee Revenue'!G31+'(D) Tuition Fee Revenue'!J31+'(D) Tuition Fee Revenue'!L31</f>
        <v>977000</v>
      </c>
      <c r="P31" s="41">
        <f t="shared" si="3"/>
        <v>52742547</v>
      </c>
      <c r="Q31" s="158"/>
      <c r="R31" s="41">
        <f t="shared" si="1"/>
        <v>44117227</v>
      </c>
      <c r="S31" s="41">
        <f t="shared" si="2"/>
        <v>5220855</v>
      </c>
      <c r="T31" s="41">
        <f t="shared" si="5"/>
        <v>102080629</v>
      </c>
      <c r="V31" s="126">
        <f>R31-'(E) Tuit Fee Discounts'!I30</f>
        <v>28558727</v>
      </c>
      <c r="W31" s="125">
        <f t="shared" si="4"/>
        <v>86522129</v>
      </c>
    </row>
    <row r="32" spans="22:23" ht="6" customHeight="1">
      <c r="V32" s="126"/>
      <c r="W32" s="125"/>
    </row>
    <row r="33" spans="2:23" s="158" customFormat="1" ht="12" customHeight="1">
      <c r="B33" s="163" t="s">
        <v>22</v>
      </c>
      <c r="C33" s="163">
        <f>SUM(C9:C32)</f>
        <v>2000720571.1599998</v>
      </c>
      <c r="D33" s="163"/>
      <c r="E33" s="163">
        <f>SUM(E9:E32)</f>
        <v>2172081717</v>
      </c>
      <c r="F33" s="163">
        <f>SUM(F9:F31)</f>
        <v>408268603</v>
      </c>
      <c r="G33" s="163">
        <f>SUM(G9:G32)</f>
        <v>4581070891.16</v>
      </c>
      <c r="H33" s="159"/>
      <c r="I33" s="163">
        <f>SUM(I9:I32)</f>
        <v>45555600</v>
      </c>
      <c r="J33" s="163"/>
      <c r="K33" s="163">
        <f>SUM(K9:K32)</f>
        <v>143385300</v>
      </c>
      <c r="L33" s="163"/>
      <c r="M33" s="163"/>
      <c r="N33" s="163">
        <f>SUM(N9:N32)</f>
        <v>70985000</v>
      </c>
      <c r="O33" s="159"/>
      <c r="P33" s="163">
        <f>SUM(P9:P32)</f>
        <v>2189661471.16</v>
      </c>
      <c r="Q33" s="163"/>
      <c r="R33" s="163">
        <f>SUM(R9:R32)</f>
        <v>2243066717</v>
      </c>
      <c r="S33" s="163">
        <f>SUM(S9:S32)</f>
        <v>408268603</v>
      </c>
      <c r="T33" s="163">
        <f>SUM(T9:T32)</f>
        <v>4840996791.16</v>
      </c>
      <c r="U33" s="159"/>
      <c r="V33" s="127">
        <f>SUM(V9:V32)</f>
        <v>1598737917</v>
      </c>
      <c r="W33" s="128">
        <f>SUM(W9:W32)</f>
        <v>4196667991.16</v>
      </c>
    </row>
    <row r="34" spans="22:23" ht="6" customHeight="1">
      <c r="V34" s="126"/>
      <c r="W34" s="125"/>
    </row>
    <row r="35" spans="2:23" ht="12.75" customHeight="1">
      <c r="B35" s="41" t="s">
        <v>23</v>
      </c>
      <c r="C35" s="41">
        <v>74562862</v>
      </c>
      <c r="E35" s="41">
        <v>0</v>
      </c>
      <c r="F35" s="41">
        <v>0</v>
      </c>
      <c r="G35" s="41">
        <f aca="true" t="shared" si="6" ref="G35:G40">C35+E35+F35</f>
        <v>74562862</v>
      </c>
      <c r="I35" s="41">
        <f>'(B) Base Bud Adj'!AN34+'(B) Base Bud Adj'!AT34</f>
        <v>12654437</v>
      </c>
      <c r="K35" s="41">
        <f>'(C) 14-15 CSU GF Adjustments'!R33</f>
        <v>1891700</v>
      </c>
      <c r="N35" s="41">
        <f>'(D) Tuition Fee Revenue'!G35+'(D) Tuition Fee Revenue'!J35+'(D) Tuition Fee Revenue'!L35</f>
        <v>0</v>
      </c>
      <c r="P35" s="41">
        <f>C35+K35+I35</f>
        <v>89108999</v>
      </c>
      <c r="R35" s="41">
        <f aca="true" t="shared" si="7" ref="R35:R40">E35+N35</f>
        <v>0</v>
      </c>
      <c r="S35" s="41">
        <f aca="true" t="shared" si="8" ref="S35:S40">F35</f>
        <v>0</v>
      </c>
      <c r="T35" s="41">
        <f aca="true" t="shared" si="9" ref="T35:T40">P35+R35+S35</f>
        <v>89108999</v>
      </c>
      <c r="V35" s="126">
        <f>R35-'(E) Tuit Fee Discounts'!I34</f>
        <v>0</v>
      </c>
      <c r="W35" s="125">
        <f aca="true" t="shared" si="10" ref="W35:W40">P35+V35+S35</f>
        <v>89108999</v>
      </c>
    </row>
    <row r="36" spans="1:23" ht="12.75" customHeight="1">
      <c r="A36" s="164"/>
      <c r="B36" s="41" t="s">
        <v>29</v>
      </c>
      <c r="C36" s="41">
        <v>884735</v>
      </c>
      <c r="E36" s="41">
        <v>0</v>
      </c>
      <c r="F36" s="41">
        <v>0</v>
      </c>
      <c r="G36" s="41">
        <f t="shared" si="6"/>
        <v>884735</v>
      </c>
      <c r="I36" s="41">
        <f>'(B) Base Bud Adj'!AN35+'(B) Base Bud Adj'!AT35</f>
        <v>0</v>
      </c>
      <c r="K36" s="41">
        <f>'(C) 14-15 CSU GF Adjustments'!R34</f>
        <v>0</v>
      </c>
      <c r="N36" s="41">
        <f>'(D) Tuition Fee Revenue'!G36+'(D) Tuition Fee Revenue'!J36+'(D) Tuition Fee Revenue'!L36</f>
        <v>9000</v>
      </c>
      <c r="P36" s="41">
        <f>C36+K36+I36</f>
        <v>884735</v>
      </c>
      <c r="R36" s="41">
        <f t="shared" si="7"/>
        <v>9000</v>
      </c>
      <c r="S36" s="41">
        <f t="shared" si="8"/>
        <v>0</v>
      </c>
      <c r="T36" s="41">
        <f t="shared" si="9"/>
        <v>893735</v>
      </c>
      <c r="V36" s="126">
        <f>R36-'(E) Tuit Fee Discounts'!I35</f>
        <v>9000</v>
      </c>
      <c r="W36" s="125">
        <f t="shared" si="10"/>
        <v>893735</v>
      </c>
    </row>
    <row r="37" spans="1:23" ht="12.75" customHeight="1">
      <c r="A37" s="164"/>
      <c r="B37" s="41" t="s">
        <v>24</v>
      </c>
      <c r="C37" s="41">
        <v>2536619</v>
      </c>
      <c r="E37" s="165">
        <v>2831000</v>
      </c>
      <c r="F37" s="41">
        <v>0</v>
      </c>
      <c r="G37" s="41">
        <f t="shared" si="6"/>
        <v>5367619</v>
      </c>
      <c r="I37" s="41">
        <f>'(B) Base Bud Adj'!AN36+'(B) Base Bud Adj'!AT36</f>
        <v>0</v>
      </c>
      <c r="K37" s="41">
        <f>'(C) 14-15 CSU GF Adjustments'!R35</f>
        <v>0</v>
      </c>
      <c r="N37" s="41">
        <f>'(D) Tuition Fee Revenue'!G37+'(D) Tuition Fee Revenue'!J37+'(D) Tuition Fee Revenue'!L37</f>
        <v>167000</v>
      </c>
      <c r="P37" s="41">
        <f>C37+K37+I37</f>
        <v>2536619</v>
      </c>
      <c r="R37" s="41">
        <f t="shared" si="7"/>
        <v>2998000</v>
      </c>
      <c r="S37" s="41">
        <f t="shared" si="8"/>
        <v>0</v>
      </c>
      <c r="T37" s="41">
        <f t="shared" si="9"/>
        <v>5534619</v>
      </c>
      <c r="V37" s="126">
        <f>R37-'(E) Tuit Fee Discounts'!I36</f>
        <v>2998000</v>
      </c>
      <c r="W37" s="125">
        <f t="shared" si="10"/>
        <v>5534619</v>
      </c>
    </row>
    <row r="38" spans="1:23" ht="12.75" customHeight="1">
      <c r="A38" s="164"/>
      <c r="B38" s="41" t="s">
        <v>25</v>
      </c>
      <c r="C38" s="41">
        <v>11800</v>
      </c>
      <c r="E38" s="41">
        <v>544932</v>
      </c>
      <c r="F38" s="41">
        <f>27900+8175</f>
        <v>36075</v>
      </c>
      <c r="G38" s="41">
        <f t="shared" si="6"/>
        <v>592807</v>
      </c>
      <c r="I38" s="41">
        <f>'(B) Base Bud Adj'!AN37+'(B) Base Bud Adj'!AT37</f>
        <v>0</v>
      </c>
      <c r="K38" s="41">
        <f>'(C) 14-15 CSU GF Adjustments'!R36</f>
        <v>0</v>
      </c>
      <c r="N38" s="41">
        <f>'(D) Tuition Fee Revenue'!G38+'(D) Tuition Fee Revenue'!J38+'(D) Tuition Fee Revenue'!L38</f>
        <v>-31000</v>
      </c>
      <c r="P38" s="41">
        <f>C38+K38+I38</f>
        <v>11800</v>
      </c>
      <c r="R38" s="41">
        <f t="shared" si="7"/>
        <v>513932</v>
      </c>
      <c r="S38" s="41">
        <f t="shared" si="8"/>
        <v>36075</v>
      </c>
      <c r="T38" s="41">
        <f t="shared" si="9"/>
        <v>561807</v>
      </c>
      <c r="V38" s="126">
        <f>R38-'(E) Tuit Fee Discounts'!I37</f>
        <v>513932</v>
      </c>
      <c r="W38" s="125">
        <f t="shared" si="10"/>
        <v>561807</v>
      </c>
    </row>
    <row r="39" spans="2:23" ht="12.75" customHeight="1">
      <c r="B39" s="41" t="s">
        <v>26</v>
      </c>
      <c r="C39" s="41">
        <f>251783413-90536000</f>
        <v>161247413</v>
      </c>
      <c r="D39" s="166"/>
      <c r="E39" s="41">
        <v>0</v>
      </c>
      <c r="F39" s="41">
        <v>1000</v>
      </c>
      <c r="G39" s="41">
        <f t="shared" si="6"/>
        <v>161248413</v>
      </c>
      <c r="I39" s="41">
        <f>'(B) Base Bud Adj'!AN38+'(B) Base Bud Adj'!AT38</f>
        <v>-41399037</v>
      </c>
      <c r="K39" s="41">
        <f>'(C) 14-15 CSU GF Adjustments'!R37</f>
        <v>-2613000</v>
      </c>
      <c r="N39" s="41">
        <f>'(D) Tuition Fee Revenue'!G39+'(D) Tuition Fee Revenue'!J39+'(D) Tuition Fee Revenue'!L39</f>
        <v>0</v>
      </c>
      <c r="O39" s="167"/>
      <c r="P39" s="41">
        <f>C39+K39+I39</f>
        <v>117235376</v>
      </c>
      <c r="R39" s="41">
        <f t="shared" si="7"/>
        <v>0</v>
      </c>
      <c r="S39" s="41">
        <f t="shared" si="8"/>
        <v>1000</v>
      </c>
      <c r="T39" s="41">
        <f t="shared" si="9"/>
        <v>117236376</v>
      </c>
      <c r="V39" s="126">
        <f>R39-'(E) Tuit Fee Discounts'!I38</f>
        <v>0</v>
      </c>
      <c r="W39" s="125">
        <f t="shared" si="10"/>
        <v>117236376</v>
      </c>
    </row>
    <row r="40" spans="1:23" ht="12.75" customHeight="1">
      <c r="A40" s="168"/>
      <c r="B40" s="41" t="s">
        <v>141</v>
      </c>
      <c r="C40" s="41">
        <v>90536000</v>
      </c>
      <c r="D40" s="166"/>
      <c r="E40" s="41">
        <v>0</v>
      </c>
      <c r="F40" s="41">
        <v>0</v>
      </c>
      <c r="G40" s="41">
        <f t="shared" si="6"/>
        <v>90536000</v>
      </c>
      <c r="I40" s="41">
        <f>'(B) Base Bud Adj'!AN39+'(B) Base Bud Adj'!AT39</f>
        <v>205780000</v>
      </c>
      <c r="K40" s="41">
        <f>'(C) 14-15 CSU GF Adjustments'!R38</f>
        <v>0</v>
      </c>
      <c r="N40" s="41">
        <f>'(D) Tuition Fee Revenue'!G40+'(D) Tuition Fee Revenue'!J40+'(D) Tuition Fee Revenue'!L40</f>
        <v>0</v>
      </c>
      <c r="O40" s="167"/>
      <c r="P40" s="41">
        <f>C40+K40+I40</f>
        <v>296316000</v>
      </c>
      <c r="R40" s="41">
        <f t="shared" si="7"/>
        <v>0</v>
      </c>
      <c r="S40" s="41">
        <f t="shared" si="8"/>
        <v>0</v>
      </c>
      <c r="T40" s="41">
        <f t="shared" si="9"/>
        <v>296316000</v>
      </c>
      <c r="V40" s="126">
        <f>R40-'(E) Tuit Fee Discounts'!I39</f>
        <v>0</v>
      </c>
      <c r="W40" s="125">
        <f t="shared" si="10"/>
        <v>296316000</v>
      </c>
    </row>
    <row r="41" spans="22:23" ht="6" customHeight="1">
      <c r="V41" s="126"/>
      <c r="W41" s="125"/>
    </row>
    <row r="42" spans="2:23" s="158" customFormat="1" ht="16.5" thickBot="1">
      <c r="B42" s="169" t="s">
        <v>27</v>
      </c>
      <c r="C42" s="169">
        <f>SUM(C33:C40)</f>
        <v>2330500000.16</v>
      </c>
      <c r="D42" s="169"/>
      <c r="E42" s="169">
        <f>SUM(E33:E40)</f>
        <v>2175457649</v>
      </c>
      <c r="F42" s="169">
        <f>SUM(F33:F40)</f>
        <v>408305678</v>
      </c>
      <c r="G42" s="169">
        <f>SUM(G33:G40)</f>
        <v>4914263327.16</v>
      </c>
      <c r="H42" s="159"/>
      <c r="I42" s="169">
        <f>SUM(I33:I40)</f>
        <v>222591000</v>
      </c>
      <c r="J42" s="169"/>
      <c r="K42" s="169">
        <f>SUM(K33:K40)</f>
        <v>142664000</v>
      </c>
      <c r="L42" s="169"/>
      <c r="M42" s="169"/>
      <c r="N42" s="169">
        <f>SUM(N33:N40)</f>
        <v>71130000</v>
      </c>
      <c r="O42" s="159"/>
      <c r="P42" s="169">
        <f>SUM(P33:P40)</f>
        <v>2695755000.16</v>
      </c>
      <c r="Q42" s="282"/>
      <c r="R42" s="169">
        <f>SUM(R33:R40)</f>
        <v>2246587649</v>
      </c>
      <c r="S42" s="169">
        <f>SUM(S33:S40)</f>
        <v>408305678</v>
      </c>
      <c r="T42" s="169">
        <f>SUM(T33:T40)</f>
        <v>5350648327.16</v>
      </c>
      <c r="U42" s="159"/>
      <c r="V42" s="127">
        <f>SUM(V33:V40)</f>
        <v>1602258849</v>
      </c>
      <c r="W42" s="128">
        <f>SUM(W33:W40)</f>
        <v>4706319527.16</v>
      </c>
    </row>
    <row r="43" ht="6" customHeight="1"/>
    <row r="44" spans="1:23" ht="25.5" customHeight="1">
      <c r="A44" s="423" t="s">
        <v>140</v>
      </c>
      <c r="B44" s="423"/>
      <c r="C44" s="423"/>
      <c r="D44" s="423"/>
      <c r="E44" s="423"/>
      <c r="F44" s="423"/>
      <c r="G44" s="423"/>
      <c r="H44" s="423"/>
      <c r="I44" s="423"/>
      <c r="J44" s="423"/>
      <c r="K44" s="423"/>
      <c r="L44" s="423"/>
      <c r="M44" s="423"/>
      <c r="N44" s="423"/>
      <c r="O44" s="423"/>
      <c r="P44" s="423"/>
      <c r="Q44" s="423"/>
      <c r="R44" s="423"/>
      <c r="S44" s="423"/>
      <c r="T44" s="423"/>
      <c r="U44" s="423"/>
      <c r="V44" s="423"/>
      <c r="W44" s="283"/>
    </row>
    <row r="45" spans="1:19" ht="13.5">
      <c r="A45" s="168"/>
      <c r="B45" s="170"/>
      <c r="E45" s="171"/>
      <c r="F45" s="171"/>
      <c r="G45" s="171"/>
      <c r="H45" s="172"/>
      <c r="I45" s="173"/>
      <c r="J45" s="173"/>
      <c r="K45" s="173"/>
      <c r="L45" s="173"/>
      <c r="M45" s="173"/>
      <c r="N45" s="173"/>
      <c r="O45" s="174"/>
      <c r="P45" s="175"/>
      <c r="Q45" s="175"/>
      <c r="R45" s="171"/>
      <c r="S45" s="171"/>
    </row>
    <row r="46" spans="3:19" ht="18" customHeight="1">
      <c r="C46" s="343"/>
      <c r="D46" s="343"/>
      <c r="E46" s="343"/>
      <c r="F46" s="343"/>
      <c r="G46" s="343"/>
      <c r="H46" s="343"/>
      <c r="I46" s="343"/>
      <c r="J46" s="343"/>
      <c r="K46" s="343"/>
      <c r="L46" s="343"/>
      <c r="M46" s="343"/>
      <c r="N46" s="343"/>
      <c r="O46" s="343"/>
      <c r="P46" s="129"/>
      <c r="Q46" s="129"/>
      <c r="R46" s="343"/>
      <c r="S46" s="343"/>
    </row>
    <row r="51" spans="16:17" ht="12.75">
      <c r="P51" s="176"/>
      <c r="Q51" s="176"/>
    </row>
  </sheetData>
  <sheetProtection/>
  <mergeCells count="9">
    <mergeCell ref="A44:V44"/>
    <mergeCell ref="V4:W5"/>
    <mergeCell ref="J6:L6"/>
    <mergeCell ref="C4:G4"/>
    <mergeCell ref="P4:T4"/>
    <mergeCell ref="I5:L5"/>
    <mergeCell ref="P5:T5"/>
    <mergeCell ref="I4:N4"/>
    <mergeCell ref="E5:E6"/>
  </mergeCells>
  <printOptions horizontalCentered="1"/>
  <pageMargins left="0.25" right="0.25" top="0.5" bottom="0.25" header="0.5" footer="0.5"/>
  <pageSetup fitToHeight="1" fitToWidth="1" horizontalDpi="600" verticalDpi="600" orientation="landscape" paperSize="5" scale="87" r:id="rId1"/>
</worksheet>
</file>

<file path=xl/worksheets/sheet2.xml><?xml version="1.0" encoding="utf-8"?>
<worksheet xmlns="http://schemas.openxmlformats.org/spreadsheetml/2006/main" xmlns:r="http://schemas.openxmlformats.org/officeDocument/2006/relationships">
  <sheetPr>
    <pageSetUpPr fitToPage="1"/>
  </sheetPr>
  <dimension ref="A1:BB49"/>
  <sheetViews>
    <sheetView zoomScalePageLayoutView="0" workbookViewId="0" topLeftCell="A1">
      <pane xSplit="1" ySplit="5" topLeftCell="B6" activePane="bottomRight" state="frozen"/>
      <selection pane="topLeft" activeCell="P9" sqref="P9"/>
      <selection pane="topRight" activeCell="P9" sqref="P9"/>
      <selection pane="bottomLeft" activeCell="P9" sqref="P9"/>
      <selection pane="bottomRight" activeCell="A5" sqref="A5"/>
    </sheetView>
  </sheetViews>
  <sheetFormatPr defaultColWidth="9.33203125" defaultRowHeight="12.75"/>
  <cols>
    <col min="1" max="1" width="25.83203125" style="41" customWidth="1"/>
    <col min="2" max="2" width="1.83203125" style="41" customWidth="1"/>
    <col min="3" max="3" width="14.16015625" style="41" bestFit="1" customWidth="1"/>
    <col min="4" max="4" width="1.83203125" style="41" customWidth="1"/>
    <col min="5" max="5" width="1.83203125" style="228" customWidth="1"/>
    <col min="6" max="6" width="11.5" style="228" bestFit="1" customWidth="1"/>
    <col min="7" max="7" width="1.83203125" style="228" bestFit="1" customWidth="1"/>
    <col min="8" max="8" width="1.83203125" style="228" customWidth="1"/>
    <col min="9" max="9" width="16.5" style="228" bestFit="1" customWidth="1"/>
    <col min="10" max="11" width="1.83203125" style="228" customWidth="1"/>
    <col min="12" max="12" width="10.5" style="228" bestFit="1" customWidth="1"/>
    <col min="13" max="15" width="1.83203125" style="228" customWidth="1"/>
    <col min="16" max="16" width="11.5" style="228" bestFit="1" customWidth="1"/>
    <col min="17" max="19" width="1.83203125" style="228" customWidth="1"/>
    <col min="20" max="20" width="10.5" style="228" bestFit="1" customWidth="1"/>
    <col min="21" max="22" width="1.83203125" style="228" customWidth="1"/>
    <col min="23" max="23" width="2.83203125" style="228" customWidth="1"/>
    <col min="24" max="24" width="11.16015625" style="228" bestFit="1" customWidth="1"/>
    <col min="25" max="25" width="2.83203125" style="228" customWidth="1"/>
    <col min="26" max="26" width="1.83203125" style="228" customWidth="1"/>
    <col min="27" max="27" width="12" style="228" bestFit="1" customWidth="1"/>
    <col min="28" max="29" width="1.83203125" style="228" customWidth="1"/>
    <col min="30" max="30" width="12.5" style="228" bestFit="1" customWidth="1"/>
    <col min="31" max="31" width="1.83203125" style="228" customWidth="1"/>
    <col min="32" max="32" width="2.83203125" style="228" customWidth="1"/>
    <col min="33" max="33" width="10.5" style="228" bestFit="1" customWidth="1"/>
    <col min="34" max="34" width="2.83203125" style="228" customWidth="1"/>
    <col min="35" max="35" width="1.83203125" style="228" customWidth="1"/>
    <col min="36" max="36" width="4.83203125" style="228" customWidth="1"/>
    <col min="37" max="37" width="10.16015625" style="228" bestFit="1" customWidth="1"/>
    <col min="38" max="38" width="4.83203125" style="228" customWidth="1"/>
    <col min="39" max="39" width="1.83203125" style="228" customWidth="1"/>
    <col min="40" max="40" width="14.66015625" style="228" bestFit="1" customWidth="1"/>
    <col min="41" max="41" width="1.83203125" style="228" customWidth="1"/>
    <col min="42" max="42" width="2.83203125" style="228" customWidth="1"/>
    <col min="43" max="43" width="14.16015625" style="228" bestFit="1" customWidth="1"/>
    <col min="44" max="44" width="2.83203125" style="41" customWidth="1"/>
    <col min="45" max="45" width="1.83203125" style="41" customWidth="1"/>
    <col min="46" max="46" width="14.5" style="41" bestFit="1" customWidth="1"/>
    <col min="47" max="47" width="1.83203125" style="41" customWidth="1"/>
    <col min="48" max="48" width="2.83203125" style="41" customWidth="1"/>
    <col min="49" max="49" width="14.5" style="41" customWidth="1"/>
    <col min="50" max="50" width="2.83203125" style="41" customWidth="1"/>
    <col min="51" max="51" width="2" style="41" customWidth="1"/>
    <col min="52" max="52" width="15" style="130" customWidth="1"/>
    <col min="53" max="53" width="9.33203125" style="41" customWidth="1"/>
    <col min="54" max="54" width="12.83203125" style="41" bestFit="1" customWidth="1"/>
    <col min="55" max="16384" width="9.33203125" style="41" customWidth="1"/>
  </cols>
  <sheetData>
    <row r="1" spans="1:49" ht="16.5">
      <c r="A1" s="1" t="s">
        <v>163</v>
      </c>
      <c r="B1" s="1"/>
      <c r="C1" s="348"/>
      <c r="D1" s="348"/>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T1" s="349"/>
      <c r="AU1" s="349"/>
      <c r="AV1" s="350"/>
      <c r="AW1" s="349"/>
    </row>
    <row r="2" spans="1:43" ht="6" customHeight="1">
      <c r="A2" s="1"/>
      <c r="B2" s="1"/>
      <c r="C2" s="348"/>
      <c r="D2" s="348"/>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c r="AI2" s="224"/>
      <c r="AJ2" s="224"/>
      <c r="AK2" s="224"/>
      <c r="AL2" s="224"/>
      <c r="AM2" s="224"/>
      <c r="AN2" s="224"/>
      <c r="AO2" s="224"/>
      <c r="AP2" s="224"/>
      <c r="AQ2" s="224"/>
    </row>
    <row r="3" spans="3:52" s="351" customFormat="1" ht="14.25">
      <c r="C3" s="145">
        <f>-1</f>
        <v>-1</v>
      </c>
      <c r="D3" s="145"/>
      <c r="E3" s="145"/>
      <c r="F3" s="145">
        <v>-2</v>
      </c>
      <c r="G3" s="145"/>
      <c r="H3" s="145"/>
      <c r="I3" s="145">
        <v>-3</v>
      </c>
      <c r="J3" s="145"/>
      <c r="L3" s="352">
        <v>-4</v>
      </c>
      <c r="M3" s="352"/>
      <c r="N3" s="352"/>
      <c r="O3" s="352"/>
      <c r="P3" s="352">
        <f>-5</f>
        <v>-5</v>
      </c>
      <c r="Q3" s="352"/>
      <c r="R3" s="352"/>
      <c r="S3" s="352"/>
      <c r="T3" s="352">
        <f>-6</f>
        <v>-6</v>
      </c>
      <c r="U3" s="352"/>
      <c r="V3" s="352"/>
      <c r="X3" s="352">
        <f>-7</f>
        <v>-7</v>
      </c>
      <c r="Y3" s="352"/>
      <c r="Z3" s="352"/>
      <c r="AA3" s="353" t="s">
        <v>58</v>
      </c>
      <c r="AB3" s="352"/>
      <c r="AC3" s="352"/>
      <c r="AD3" s="353" t="s">
        <v>67</v>
      </c>
      <c r="AE3" s="352"/>
      <c r="AF3" s="352"/>
      <c r="AG3" s="353" t="s">
        <v>71</v>
      </c>
      <c r="AH3" s="352"/>
      <c r="AI3" s="352"/>
      <c r="AJ3" s="352"/>
      <c r="AK3" s="353" t="s">
        <v>59</v>
      </c>
      <c r="AL3" s="352"/>
      <c r="AM3" s="145"/>
      <c r="AN3" s="353" t="s">
        <v>95</v>
      </c>
      <c r="AO3" s="145"/>
      <c r="AP3" s="145"/>
      <c r="AQ3" s="353" t="s">
        <v>96</v>
      </c>
      <c r="AT3" s="353" t="s">
        <v>143</v>
      </c>
      <c r="AU3" s="353"/>
      <c r="AV3" s="353"/>
      <c r="AW3" s="353" t="s">
        <v>144</v>
      </c>
      <c r="AZ3" s="421"/>
    </row>
    <row r="4" spans="3:52" s="354" customFormat="1" ht="6" customHeight="1">
      <c r="C4" s="225"/>
      <c r="D4" s="225"/>
      <c r="E4" s="225"/>
      <c r="F4" s="225"/>
      <c r="G4" s="225"/>
      <c r="H4" s="225"/>
      <c r="I4" s="225"/>
      <c r="J4" s="225"/>
      <c r="K4" s="225"/>
      <c r="L4" s="225"/>
      <c r="M4" s="225"/>
      <c r="N4" s="225"/>
      <c r="O4" s="225"/>
      <c r="P4" s="225"/>
      <c r="Q4" s="225"/>
      <c r="R4" s="225"/>
      <c r="S4" s="225"/>
      <c r="T4" s="225"/>
      <c r="U4" s="225"/>
      <c r="V4" s="225"/>
      <c r="W4" s="225"/>
      <c r="X4" s="355"/>
      <c r="Y4" s="355"/>
      <c r="Z4" s="355"/>
      <c r="AA4" s="355"/>
      <c r="AB4" s="355"/>
      <c r="AC4" s="355"/>
      <c r="AD4" s="355"/>
      <c r="AE4" s="355"/>
      <c r="AF4" s="355"/>
      <c r="AG4" s="355"/>
      <c r="AH4" s="355"/>
      <c r="AI4" s="355"/>
      <c r="AJ4" s="355"/>
      <c r="AK4" s="355"/>
      <c r="AL4" s="355"/>
      <c r="AM4" s="225"/>
      <c r="AN4" s="225"/>
      <c r="AO4" s="225"/>
      <c r="AP4" s="225"/>
      <c r="AQ4" s="225"/>
      <c r="AZ4" s="422"/>
    </row>
    <row r="5" spans="1:52" s="150" customFormat="1" ht="71.25" customHeight="1">
      <c r="A5" s="151"/>
      <c r="B5" s="446" t="s">
        <v>89</v>
      </c>
      <c r="C5" s="435"/>
      <c r="D5" s="447"/>
      <c r="E5" s="151"/>
      <c r="F5" s="151" t="s">
        <v>91</v>
      </c>
      <c r="G5" s="221">
        <v>1</v>
      </c>
      <c r="H5" s="151"/>
      <c r="I5" s="356" t="s">
        <v>90</v>
      </c>
      <c r="J5" s="151"/>
      <c r="K5" s="442" t="s">
        <v>155</v>
      </c>
      <c r="L5" s="442"/>
      <c r="M5" s="442"/>
      <c r="N5" s="151"/>
      <c r="O5" s="442" t="s">
        <v>113</v>
      </c>
      <c r="P5" s="442"/>
      <c r="Q5" s="442"/>
      <c r="R5" s="151"/>
      <c r="S5" s="442" t="s">
        <v>119</v>
      </c>
      <c r="T5" s="442"/>
      <c r="U5" s="442"/>
      <c r="V5" s="151"/>
      <c r="W5" s="442" t="s">
        <v>156</v>
      </c>
      <c r="X5" s="442"/>
      <c r="Y5" s="442"/>
      <c r="Z5" s="151"/>
      <c r="AA5" s="151" t="s">
        <v>114</v>
      </c>
      <c r="AB5" s="357">
        <v>3</v>
      </c>
      <c r="AC5" s="151"/>
      <c r="AD5" s="151" t="s">
        <v>100</v>
      </c>
      <c r="AE5" s="151"/>
      <c r="AF5" s="442" t="s">
        <v>157</v>
      </c>
      <c r="AG5" s="442"/>
      <c r="AH5" s="442"/>
      <c r="AI5" s="151"/>
      <c r="AJ5" s="448" t="s">
        <v>120</v>
      </c>
      <c r="AK5" s="448"/>
      <c r="AL5" s="448"/>
      <c r="AM5" s="221"/>
      <c r="AN5" s="356" t="s">
        <v>133</v>
      </c>
      <c r="AO5" s="221"/>
      <c r="AP5" s="443" t="s">
        <v>165</v>
      </c>
      <c r="AQ5" s="444"/>
      <c r="AR5" s="445"/>
      <c r="AS5" s="324"/>
      <c r="AT5" s="356" t="s">
        <v>171</v>
      </c>
      <c r="AU5" s="151"/>
      <c r="AV5" s="438" t="s">
        <v>158</v>
      </c>
      <c r="AW5" s="439"/>
      <c r="AX5" s="440"/>
      <c r="AZ5" s="420"/>
    </row>
    <row r="6" spans="1:52" s="364" customFormat="1" ht="16.5">
      <c r="A6" s="189"/>
      <c r="B6" s="358"/>
      <c r="C6" s="189"/>
      <c r="D6" s="359"/>
      <c r="E6" s="189"/>
      <c r="F6" s="189"/>
      <c r="G6" s="189"/>
      <c r="H6" s="189"/>
      <c r="I6" s="360" t="s">
        <v>72</v>
      </c>
      <c r="J6" s="330"/>
      <c r="K6" s="189"/>
      <c r="L6" s="189"/>
      <c r="M6" s="189"/>
      <c r="N6" s="189"/>
      <c r="O6" s="189"/>
      <c r="P6" s="189"/>
      <c r="Q6" s="189"/>
      <c r="R6" s="189"/>
      <c r="S6" s="189"/>
      <c r="T6" s="189"/>
      <c r="U6" s="189"/>
      <c r="V6" s="189"/>
      <c r="W6" s="189"/>
      <c r="X6" s="330"/>
      <c r="Y6" s="330"/>
      <c r="Z6" s="330"/>
      <c r="AA6" s="330"/>
      <c r="AB6" s="330"/>
      <c r="AC6" s="330"/>
      <c r="AD6" s="330"/>
      <c r="AE6" s="330"/>
      <c r="AF6" s="330"/>
      <c r="AG6" s="330"/>
      <c r="AH6" s="330"/>
      <c r="AI6" s="330"/>
      <c r="AJ6" s="441" t="s">
        <v>106</v>
      </c>
      <c r="AK6" s="441"/>
      <c r="AL6" s="441"/>
      <c r="AM6" s="330"/>
      <c r="AN6" s="361" t="s">
        <v>116</v>
      </c>
      <c r="AO6" s="330"/>
      <c r="AP6" s="362"/>
      <c r="AQ6" s="330" t="s">
        <v>117</v>
      </c>
      <c r="AR6" s="359"/>
      <c r="AS6" s="189"/>
      <c r="AT6" s="363" t="s">
        <v>153</v>
      </c>
      <c r="AU6" s="189"/>
      <c r="AV6" s="358"/>
      <c r="AW6" s="330" t="s">
        <v>145</v>
      </c>
      <c r="AX6" s="359"/>
      <c r="AZ6" s="189"/>
    </row>
    <row r="7" spans="1:50" ht="7.5" customHeight="1">
      <c r="A7" s="130"/>
      <c r="B7" s="365"/>
      <c r="C7" s="130"/>
      <c r="D7" s="366"/>
      <c r="E7" s="224"/>
      <c r="F7" s="224"/>
      <c r="G7" s="224"/>
      <c r="H7" s="224"/>
      <c r="I7" s="367"/>
      <c r="J7" s="224"/>
      <c r="K7" s="224"/>
      <c r="L7" s="224"/>
      <c r="M7" s="224"/>
      <c r="N7" s="224"/>
      <c r="O7" s="224"/>
      <c r="P7" s="224"/>
      <c r="Q7" s="224"/>
      <c r="R7" s="224"/>
      <c r="S7" s="224"/>
      <c r="T7" s="224"/>
      <c r="U7" s="224"/>
      <c r="V7" s="224"/>
      <c r="W7" s="224"/>
      <c r="X7" s="368"/>
      <c r="Y7" s="368"/>
      <c r="Z7" s="368"/>
      <c r="AA7" s="368"/>
      <c r="AB7" s="368"/>
      <c r="AC7" s="368"/>
      <c r="AD7" s="368"/>
      <c r="AE7" s="368"/>
      <c r="AF7" s="368"/>
      <c r="AG7" s="368"/>
      <c r="AH7" s="368"/>
      <c r="AI7" s="368"/>
      <c r="AJ7" s="239"/>
      <c r="AK7" s="239"/>
      <c r="AL7" s="272"/>
      <c r="AM7" s="368"/>
      <c r="AN7" s="369"/>
      <c r="AO7" s="368"/>
      <c r="AP7" s="370"/>
      <c r="AQ7" s="368"/>
      <c r="AR7" s="366"/>
      <c r="AS7" s="130"/>
      <c r="AT7" s="371"/>
      <c r="AU7" s="130"/>
      <c r="AV7" s="365"/>
      <c r="AW7" s="130"/>
      <c r="AX7" s="366"/>
    </row>
    <row r="8" spans="1:52" s="383" customFormat="1" ht="12.75" customHeight="1">
      <c r="A8" s="372" t="s">
        <v>0</v>
      </c>
      <c r="B8" s="373"/>
      <c r="C8" s="226">
        <f>'(A) Budget Summary'!C9</f>
        <v>51343309</v>
      </c>
      <c r="D8" s="374"/>
      <c r="E8" s="226"/>
      <c r="F8" s="226">
        <v>298300</v>
      </c>
      <c r="G8" s="375"/>
      <c r="H8" s="226"/>
      <c r="I8" s="376">
        <f aca="true" t="shared" si="0" ref="I8:I30">C8+F8</f>
        <v>51641609</v>
      </c>
      <c r="J8" s="226"/>
      <c r="K8" s="226"/>
      <c r="L8" s="372">
        <v>30400</v>
      </c>
      <c r="M8" s="372"/>
      <c r="N8" s="372"/>
      <c r="O8" s="372"/>
      <c r="P8" s="372">
        <v>744000</v>
      </c>
      <c r="Q8" s="372"/>
      <c r="R8" s="372"/>
      <c r="S8" s="372"/>
      <c r="T8" s="372">
        <v>50100</v>
      </c>
      <c r="U8" s="372"/>
      <c r="V8" s="372"/>
      <c r="W8" s="226"/>
      <c r="X8" s="226">
        <v>0</v>
      </c>
      <c r="Y8" s="226"/>
      <c r="Z8" s="226"/>
      <c r="AA8" s="226"/>
      <c r="AB8" s="226"/>
      <c r="AC8" s="226"/>
      <c r="AD8" s="226"/>
      <c r="AE8" s="226"/>
      <c r="AF8" s="226"/>
      <c r="AG8" s="377">
        <v>20700</v>
      </c>
      <c r="AH8" s="226"/>
      <c r="AI8" s="226"/>
      <c r="AJ8" s="273"/>
      <c r="AK8" s="274">
        <f>'(D) Tuition Fee Revenue'!N9+'(E) Tuit Fee Discounts'!L8</f>
        <v>22900</v>
      </c>
      <c r="AL8" s="274"/>
      <c r="AM8" s="226"/>
      <c r="AN8" s="376">
        <f aca="true" t="shared" si="1" ref="AN8:AN30">SUM(L8:AK8)+F8</f>
        <v>1166400</v>
      </c>
      <c r="AO8" s="226"/>
      <c r="AP8" s="373"/>
      <c r="AQ8" s="226">
        <f aca="true" t="shared" si="2" ref="AQ8:AQ30">C8+AN8</f>
        <v>52509709</v>
      </c>
      <c r="AR8" s="374"/>
      <c r="AS8" s="226"/>
      <c r="AT8" s="378">
        <f>-ROUND(((AQ8/($AQ$32+$AQ$34))*24535000)/100,0)*100</f>
        <v>-597000</v>
      </c>
      <c r="AU8" s="379"/>
      <c r="AV8" s="380"/>
      <c r="AW8" s="381">
        <f>AQ8+AT8</f>
        <v>51912709</v>
      </c>
      <c r="AX8" s="382"/>
      <c r="AZ8" s="159"/>
    </row>
    <row r="9" spans="1:54" s="350" customFormat="1" ht="12.75" customHeight="1">
      <c r="A9" s="228" t="s">
        <v>1</v>
      </c>
      <c r="B9" s="384"/>
      <c r="C9" s="224">
        <f>'(A) Budget Summary'!C10</f>
        <v>48496910</v>
      </c>
      <c r="D9" s="385"/>
      <c r="E9" s="227"/>
      <c r="F9" s="227">
        <v>255000</v>
      </c>
      <c r="G9" s="386"/>
      <c r="H9" s="227"/>
      <c r="I9" s="387">
        <f t="shared" si="0"/>
        <v>48751910</v>
      </c>
      <c r="J9" s="388"/>
      <c r="K9" s="227"/>
      <c r="L9" s="228">
        <v>12000</v>
      </c>
      <c r="M9" s="228"/>
      <c r="N9" s="228"/>
      <c r="O9" s="228"/>
      <c r="P9" s="228">
        <v>653000</v>
      </c>
      <c r="Q9" s="228"/>
      <c r="R9" s="228"/>
      <c r="S9" s="228"/>
      <c r="T9" s="228">
        <v>54400</v>
      </c>
      <c r="U9" s="228"/>
      <c r="V9" s="228"/>
      <c r="W9" s="227"/>
      <c r="X9" s="224">
        <v>0</v>
      </c>
      <c r="Y9" s="224"/>
      <c r="Z9" s="224"/>
      <c r="AA9" s="226">
        <v>4854000</v>
      </c>
      <c r="AB9" s="41"/>
      <c r="AC9" s="224"/>
      <c r="AD9" s="224"/>
      <c r="AE9" s="224"/>
      <c r="AF9" s="224"/>
      <c r="AG9" s="389">
        <v>13100</v>
      </c>
      <c r="AH9" s="224"/>
      <c r="AI9" s="224"/>
      <c r="AJ9" s="273"/>
      <c r="AK9" s="273">
        <f>'(D) Tuition Fee Revenue'!N10+'(E) Tuit Fee Discounts'!L9</f>
        <v>1600500</v>
      </c>
      <c r="AL9" s="273"/>
      <c r="AM9" s="224"/>
      <c r="AN9" s="367">
        <f t="shared" si="1"/>
        <v>7442000</v>
      </c>
      <c r="AO9" s="224"/>
      <c r="AP9" s="384"/>
      <c r="AQ9" s="224">
        <f t="shared" si="2"/>
        <v>55938910</v>
      </c>
      <c r="AR9" s="385"/>
      <c r="AS9" s="224"/>
      <c r="AT9" s="390">
        <f aca="true" t="shared" si="3" ref="AT9:AT30">-ROUND(((AQ9/($AQ$32+$AQ$34))*24535000)/100,0)*100</f>
        <v>-636000</v>
      </c>
      <c r="AU9" s="391"/>
      <c r="AV9" s="392"/>
      <c r="AW9" s="393">
        <f>AQ9+AT9</f>
        <v>55302910</v>
      </c>
      <c r="AX9" s="394"/>
      <c r="AZ9" s="130"/>
      <c r="BB9" s="383"/>
    </row>
    <row r="10" spans="1:54" s="350" customFormat="1" ht="12.75" customHeight="1">
      <c r="A10" s="228" t="s">
        <v>2</v>
      </c>
      <c r="B10" s="384"/>
      <c r="C10" s="224">
        <f>'(A) Budget Summary'!C11</f>
        <v>85954532</v>
      </c>
      <c r="D10" s="385"/>
      <c r="E10" s="227"/>
      <c r="F10" s="227">
        <v>566600</v>
      </c>
      <c r="G10" s="386"/>
      <c r="H10" s="227"/>
      <c r="I10" s="387">
        <f t="shared" si="0"/>
        <v>86521132</v>
      </c>
      <c r="J10" s="388"/>
      <c r="K10" s="227"/>
      <c r="L10" s="228">
        <v>70400</v>
      </c>
      <c r="M10" s="228"/>
      <c r="N10" s="228"/>
      <c r="O10" s="228"/>
      <c r="P10" s="228">
        <v>1468000</v>
      </c>
      <c r="Q10" s="228"/>
      <c r="R10" s="228"/>
      <c r="S10" s="228"/>
      <c r="T10" s="228">
        <v>92800</v>
      </c>
      <c r="U10" s="228"/>
      <c r="V10" s="228"/>
      <c r="W10" s="227"/>
      <c r="X10" s="224">
        <f>393200</f>
        <v>393200</v>
      </c>
      <c r="Y10" s="224"/>
      <c r="Z10" s="224"/>
      <c r="AA10" s="224"/>
      <c r="AB10" s="224"/>
      <c r="AC10" s="224"/>
      <c r="AD10" s="224"/>
      <c r="AE10" s="224"/>
      <c r="AF10" s="224"/>
      <c r="AG10" s="389">
        <v>42300</v>
      </c>
      <c r="AH10" s="224"/>
      <c r="AI10" s="224"/>
      <c r="AJ10" s="273"/>
      <c r="AK10" s="273">
        <f>'(D) Tuition Fee Revenue'!N11+'(E) Tuit Fee Discounts'!L10</f>
        <v>-423600</v>
      </c>
      <c r="AL10" s="273"/>
      <c r="AM10" s="224"/>
      <c r="AN10" s="367">
        <f t="shared" si="1"/>
        <v>2209700</v>
      </c>
      <c r="AO10" s="224"/>
      <c r="AP10" s="384"/>
      <c r="AQ10" s="224">
        <f t="shared" si="2"/>
        <v>88164232</v>
      </c>
      <c r="AR10" s="385"/>
      <c r="AS10" s="224"/>
      <c r="AT10" s="390">
        <f>-ROUND(((AQ10/($AQ$32+$AQ$34))*24535000)/100,0)*100+100</f>
        <v>-1002300</v>
      </c>
      <c r="AU10" s="391"/>
      <c r="AV10" s="392"/>
      <c r="AW10" s="393">
        <f aca="true" t="shared" si="4" ref="AW10:AW30">AQ10+AT10</f>
        <v>87161932</v>
      </c>
      <c r="AX10" s="394"/>
      <c r="AZ10" s="130"/>
      <c r="BB10" s="383"/>
    </row>
    <row r="11" spans="1:54" s="350" customFormat="1" ht="12.75" customHeight="1">
      <c r="A11" s="228" t="s">
        <v>3</v>
      </c>
      <c r="B11" s="384"/>
      <c r="C11" s="224">
        <f>'(A) Budget Summary'!C12</f>
        <v>61880052</v>
      </c>
      <c r="D11" s="385"/>
      <c r="E11" s="227"/>
      <c r="F11" s="227">
        <v>376400</v>
      </c>
      <c r="G11" s="386"/>
      <c r="H11" s="227"/>
      <c r="I11" s="387">
        <f t="shared" si="0"/>
        <v>62256452</v>
      </c>
      <c r="J11" s="388"/>
      <c r="K11" s="227"/>
      <c r="L11" s="228">
        <v>38900</v>
      </c>
      <c r="M11" s="228"/>
      <c r="N11" s="228"/>
      <c r="O11" s="228"/>
      <c r="P11" s="228">
        <v>918000</v>
      </c>
      <c r="Q11" s="228"/>
      <c r="R11" s="228"/>
      <c r="S11" s="228"/>
      <c r="T11" s="228">
        <v>72700</v>
      </c>
      <c r="U11" s="228"/>
      <c r="V11" s="228"/>
      <c r="W11" s="227"/>
      <c r="X11" s="224">
        <v>0</v>
      </c>
      <c r="Y11" s="224"/>
      <c r="Z11" s="224"/>
      <c r="AA11" s="224"/>
      <c r="AB11" s="224"/>
      <c r="AC11" s="224"/>
      <c r="AD11" s="224"/>
      <c r="AE11" s="224"/>
      <c r="AF11" s="224"/>
      <c r="AG11" s="389">
        <v>31600</v>
      </c>
      <c r="AH11" s="224"/>
      <c r="AI11" s="224"/>
      <c r="AJ11" s="273"/>
      <c r="AK11" s="273">
        <f>'(D) Tuition Fee Revenue'!N12+'(E) Tuit Fee Discounts'!L11</f>
        <v>-858900</v>
      </c>
      <c r="AL11" s="273"/>
      <c r="AM11" s="224"/>
      <c r="AN11" s="367">
        <f t="shared" si="1"/>
        <v>578700</v>
      </c>
      <c r="AO11" s="224"/>
      <c r="AP11" s="384"/>
      <c r="AQ11" s="224">
        <f t="shared" si="2"/>
        <v>62458752</v>
      </c>
      <c r="AR11" s="385"/>
      <c r="AS11" s="224"/>
      <c r="AT11" s="390">
        <f t="shared" si="3"/>
        <v>-710100</v>
      </c>
      <c r="AU11" s="391"/>
      <c r="AV11" s="392"/>
      <c r="AW11" s="393">
        <f t="shared" si="4"/>
        <v>61748652</v>
      </c>
      <c r="AX11" s="394"/>
      <c r="AZ11" s="130"/>
      <c r="BB11" s="383"/>
    </row>
    <row r="12" spans="1:54" s="350" customFormat="1" ht="12.75" customHeight="1">
      <c r="A12" s="228" t="s">
        <v>28</v>
      </c>
      <c r="B12" s="384"/>
      <c r="C12" s="224">
        <f>'(A) Budget Summary'!C13</f>
        <v>67147261</v>
      </c>
      <c r="D12" s="385"/>
      <c r="E12" s="227"/>
      <c r="F12" s="227">
        <v>518100</v>
      </c>
      <c r="G12" s="386"/>
      <c r="H12" s="227"/>
      <c r="I12" s="387">
        <f t="shared" si="0"/>
        <v>67665361</v>
      </c>
      <c r="J12" s="388"/>
      <c r="K12" s="227"/>
      <c r="L12" s="228">
        <v>41200</v>
      </c>
      <c r="M12" s="228"/>
      <c r="N12" s="228"/>
      <c r="O12" s="228"/>
      <c r="P12" s="228">
        <v>1359000</v>
      </c>
      <c r="Q12" s="228"/>
      <c r="R12" s="228"/>
      <c r="S12" s="228"/>
      <c r="T12" s="228">
        <v>80100</v>
      </c>
      <c r="U12" s="228"/>
      <c r="V12" s="228"/>
      <c r="W12" s="227"/>
      <c r="X12" s="224">
        <f>664300</f>
        <v>664300</v>
      </c>
      <c r="Y12" s="224"/>
      <c r="Z12" s="224"/>
      <c r="AA12" s="224"/>
      <c r="AB12" s="224"/>
      <c r="AC12" s="224"/>
      <c r="AD12" s="224"/>
      <c r="AE12" s="224"/>
      <c r="AF12" s="224"/>
      <c r="AG12" s="389">
        <v>45500</v>
      </c>
      <c r="AH12" s="224"/>
      <c r="AI12" s="224"/>
      <c r="AJ12" s="273"/>
      <c r="AK12" s="273">
        <f>'(D) Tuition Fee Revenue'!N13+'(E) Tuit Fee Discounts'!L12</f>
        <v>-153100</v>
      </c>
      <c r="AL12" s="273"/>
      <c r="AM12" s="224"/>
      <c r="AN12" s="367">
        <f t="shared" si="1"/>
        <v>2555100</v>
      </c>
      <c r="AO12" s="224"/>
      <c r="AP12" s="384"/>
      <c r="AQ12" s="224">
        <f t="shared" si="2"/>
        <v>69702361</v>
      </c>
      <c r="AR12" s="385"/>
      <c r="AS12" s="224"/>
      <c r="AT12" s="390">
        <f t="shared" si="3"/>
        <v>-792500</v>
      </c>
      <c r="AU12" s="391"/>
      <c r="AV12" s="392"/>
      <c r="AW12" s="393">
        <f t="shared" si="4"/>
        <v>68909861</v>
      </c>
      <c r="AX12" s="394"/>
      <c r="AZ12" s="130"/>
      <c r="BB12" s="383"/>
    </row>
    <row r="13" spans="1:54" s="350" customFormat="1" ht="12.75" customHeight="1">
      <c r="A13" s="228" t="s">
        <v>4</v>
      </c>
      <c r="B13" s="384"/>
      <c r="C13" s="224">
        <f>'(A) Budget Summary'!C14</f>
        <v>108604732</v>
      </c>
      <c r="D13" s="385"/>
      <c r="E13" s="227"/>
      <c r="F13" s="227">
        <v>699700</v>
      </c>
      <c r="G13" s="386"/>
      <c r="H13" s="227"/>
      <c r="I13" s="387">
        <f t="shared" si="0"/>
        <v>109304432</v>
      </c>
      <c r="J13" s="388"/>
      <c r="K13" s="227"/>
      <c r="L13" s="228">
        <v>67700</v>
      </c>
      <c r="M13" s="228"/>
      <c r="N13" s="228"/>
      <c r="O13" s="228"/>
      <c r="P13" s="228">
        <v>1838000</v>
      </c>
      <c r="Q13" s="228"/>
      <c r="R13" s="228"/>
      <c r="S13" s="228"/>
      <c r="T13" s="228">
        <v>94000</v>
      </c>
      <c r="U13" s="228"/>
      <c r="V13" s="228"/>
      <c r="W13" s="227"/>
      <c r="X13" s="224">
        <f>498400</f>
        <v>498400</v>
      </c>
      <c r="Y13" s="224"/>
      <c r="Z13" s="224"/>
      <c r="AA13" s="224"/>
      <c r="AB13" s="224"/>
      <c r="AC13" s="224"/>
      <c r="AD13" s="224"/>
      <c r="AE13" s="224"/>
      <c r="AF13" s="224"/>
      <c r="AG13" s="389">
        <v>54200</v>
      </c>
      <c r="AH13" s="224"/>
      <c r="AI13" s="224"/>
      <c r="AJ13" s="273"/>
      <c r="AK13" s="273">
        <f>'(D) Tuition Fee Revenue'!N14+'(E) Tuit Fee Discounts'!L13</f>
        <v>355800</v>
      </c>
      <c r="AL13" s="273"/>
      <c r="AM13" s="224"/>
      <c r="AN13" s="367">
        <f t="shared" si="1"/>
        <v>3607800</v>
      </c>
      <c r="AO13" s="224"/>
      <c r="AP13" s="384"/>
      <c r="AQ13" s="224">
        <f t="shared" si="2"/>
        <v>112212532</v>
      </c>
      <c r="AR13" s="385"/>
      <c r="AS13" s="224"/>
      <c r="AT13" s="390">
        <f t="shared" si="3"/>
        <v>-1275800</v>
      </c>
      <c r="AU13" s="391"/>
      <c r="AV13" s="392"/>
      <c r="AW13" s="393">
        <f t="shared" si="4"/>
        <v>110936732</v>
      </c>
      <c r="AX13" s="394"/>
      <c r="AZ13" s="130"/>
      <c r="BB13" s="383"/>
    </row>
    <row r="14" spans="1:54" s="350" customFormat="1" ht="12.75" customHeight="1">
      <c r="A14" s="228" t="s">
        <v>5</v>
      </c>
      <c r="B14" s="384"/>
      <c r="C14" s="224">
        <f>'(A) Budget Summary'!C15</f>
        <v>130064361</v>
      </c>
      <c r="D14" s="385"/>
      <c r="E14" s="227"/>
      <c r="F14" s="227">
        <v>1043100</v>
      </c>
      <c r="G14" s="386"/>
      <c r="H14" s="227"/>
      <c r="I14" s="387">
        <f t="shared" si="0"/>
        <v>131107461</v>
      </c>
      <c r="J14" s="388"/>
      <c r="K14" s="227"/>
      <c r="L14" s="228">
        <v>90200</v>
      </c>
      <c r="M14" s="228"/>
      <c r="N14" s="228"/>
      <c r="O14" s="228"/>
      <c r="P14" s="228">
        <v>2695000</v>
      </c>
      <c r="Q14" s="228"/>
      <c r="R14" s="228"/>
      <c r="S14" s="228"/>
      <c r="T14" s="228">
        <v>153700</v>
      </c>
      <c r="U14" s="228"/>
      <c r="V14" s="228"/>
      <c r="W14" s="227"/>
      <c r="X14" s="224">
        <f>458000</f>
        <v>458000</v>
      </c>
      <c r="Y14" s="224"/>
      <c r="Z14" s="224"/>
      <c r="AA14" s="224"/>
      <c r="AB14" s="224"/>
      <c r="AC14" s="224"/>
      <c r="AD14" s="224"/>
      <c r="AE14" s="224"/>
      <c r="AF14" s="224"/>
      <c r="AG14" s="389">
        <v>96900</v>
      </c>
      <c r="AH14" s="224"/>
      <c r="AI14" s="224"/>
      <c r="AJ14" s="273"/>
      <c r="AK14" s="273">
        <f>'(D) Tuition Fee Revenue'!N15+'(E) Tuit Fee Discounts'!L14</f>
        <v>776200</v>
      </c>
      <c r="AL14" s="273"/>
      <c r="AM14" s="224"/>
      <c r="AN14" s="367">
        <f t="shared" si="1"/>
        <v>5313100</v>
      </c>
      <c r="AO14" s="224"/>
      <c r="AP14" s="384"/>
      <c r="AQ14" s="224">
        <f t="shared" si="2"/>
        <v>135377461</v>
      </c>
      <c r="AR14" s="385"/>
      <c r="AS14" s="224"/>
      <c r="AT14" s="390">
        <f t="shared" si="3"/>
        <v>-1539100</v>
      </c>
      <c r="AU14" s="391"/>
      <c r="AV14" s="392"/>
      <c r="AW14" s="393">
        <f t="shared" si="4"/>
        <v>133838361</v>
      </c>
      <c r="AX14" s="394"/>
      <c r="AZ14" s="130"/>
      <c r="BB14" s="383"/>
    </row>
    <row r="15" spans="1:54" s="350" customFormat="1" ht="12.75" customHeight="1">
      <c r="A15" s="228" t="s">
        <v>6</v>
      </c>
      <c r="B15" s="384"/>
      <c r="C15" s="224">
        <f>'(A) Budget Summary'!C16</f>
        <v>60415210</v>
      </c>
      <c r="D15" s="385"/>
      <c r="E15" s="227"/>
      <c r="F15" s="227">
        <v>361100</v>
      </c>
      <c r="G15" s="386"/>
      <c r="H15" s="227"/>
      <c r="I15" s="387">
        <f t="shared" si="0"/>
        <v>60776310</v>
      </c>
      <c r="J15" s="388"/>
      <c r="K15" s="227"/>
      <c r="L15" s="228">
        <v>50100</v>
      </c>
      <c r="M15" s="228"/>
      <c r="N15" s="228"/>
      <c r="O15" s="228"/>
      <c r="P15" s="228">
        <v>960000</v>
      </c>
      <c r="Q15" s="228"/>
      <c r="R15" s="228"/>
      <c r="S15" s="228"/>
      <c r="T15" s="228">
        <v>62600</v>
      </c>
      <c r="U15" s="228"/>
      <c r="V15" s="228"/>
      <c r="W15" s="227"/>
      <c r="X15" s="224">
        <v>0</v>
      </c>
      <c r="Y15" s="224"/>
      <c r="Z15" s="224"/>
      <c r="AA15" s="224"/>
      <c r="AB15" s="224"/>
      <c r="AC15" s="224"/>
      <c r="AD15" s="224"/>
      <c r="AE15" s="224"/>
      <c r="AF15" s="224"/>
      <c r="AG15" s="389">
        <v>23700</v>
      </c>
      <c r="AH15" s="224"/>
      <c r="AI15" s="224"/>
      <c r="AJ15" s="273"/>
      <c r="AK15" s="273">
        <f>'(D) Tuition Fee Revenue'!N16+'(E) Tuit Fee Discounts'!L15</f>
        <v>-457400</v>
      </c>
      <c r="AL15" s="273"/>
      <c r="AM15" s="224"/>
      <c r="AN15" s="367">
        <f t="shared" si="1"/>
        <v>1000100</v>
      </c>
      <c r="AO15" s="224"/>
      <c r="AP15" s="384"/>
      <c r="AQ15" s="224">
        <f t="shared" si="2"/>
        <v>61415310</v>
      </c>
      <c r="AR15" s="385"/>
      <c r="AS15" s="224"/>
      <c r="AT15" s="390">
        <f t="shared" si="3"/>
        <v>-698200</v>
      </c>
      <c r="AU15" s="391"/>
      <c r="AV15" s="392"/>
      <c r="AW15" s="393">
        <f t="shared" si="4"/>
        <v>60717110</v>
      </c>
      <c r="AX15" s="394"/>
      <c r="AZ15" s="130"/>
      <c r="BB15" s="383"/>
    </row>
    <row r="16" spans="1:54" s="350" customFormat="1" ht="12.75" customHeight="1">
      <c r="A16" s="228" t="s">
        <v>7</v>
      </c>
      <c r="B16" s="384"/>
      <c r="C16" s="224">
        <f>'(A) Budget Summary'!C17</f>
        <v>141554836.16</v>
      </c>
      <c r="D16" s="385"/>
      <c r="E16" s="227"/>
      <c r="F16" s="227">
        <v>1128900</v>
      </c>
      <c r="G16" s="386"/>
      <c r="H16" s="227"/>
      <c r="I16" s="387">
        <f t="shared" si="0"/>
        <v>142683736.16</v>
      </c>
      <c r="J16" s="388"/>
      <c r="K16" s="227"/>
      <c r="L16" s="228">
        <v>53500</v>
      </c>
      <c r="M16" s="228"/>
      <c r="N16" s="228"/>
      <c r="O16" s="228"/>
      <c r="P16" s="228">
        <v>2903000</v>
      </c>
      <c r="Q16" s="228"/>
      <c r="R16" s="228"/>
      <c r="S16" s="228"/>
      <c r="T16" s="228">
        <v>164500</v>
      </c>
      <c r="U16" s="228"/>
      <c r="V16" s="228"/>
      <c r="W16" s="227"/>
      <c r="X16" s="224">
        <f>675000</f>
        <v>675000</v>
      </c>
      <c r="Y16" s="224"/>
      <c r="Z16" s="224"/>
      <c r="AA16" s="224"/>
      <c r="AB16" s="224"/>
      <c r="AC16" s="224"/>
      <c r="AD16" s="224"/>
      <c r="AE16" s="224"/>
      <c r="AF16" s="224"/>
      <c r="AG16" s="389">
        <v>96500</v>
      </c>
      <c r="AH16" s="224"/>
      <c r="AI16" s="224"/>
      <c r="AJ16" s="273"/>
      <c r="AK16" s="273">
        <f>'(D) Tuition Fee Revenue'!N17+'(E) Tuit Fee Discounts'!L16</f>
        <v>1195000</v>
      </c>
      <c r="AL16" s="273"/>
      <c r="AM16" s="224"/>
      <c r="AN16" s="367">
        <f t="shared" si="1"/>
        <v>6216400</v>
      </c>
      <c r="AO16" s="224"/>
      <c r="AP16" s="384"/>
      <c r="AQ16" s="224">
        <f t="shared" si="2"/>
        <v>147771236.16</v>
      </c>
      <c r="AR16" s="385"/>
      <c r="AS16" s="224"/>
      <c r="AT16" s="390">
        <f t="shared" si="3"/>
        <v>-1680000</v>
      </c>
      <c r="AU16" s="391"/>
      <c r="AV16" s="392"/>
      <c r="AW16" s="393">
        <f t="shared" si="4"/>
        <v>146091236.16</v>
      </c>
      <c r="AX16" s="394"/>
      <c r="AZ16" s="130"/>
      <c r="BB16" s="383"/>
    </row>
    <row r="17" spans="1:54" s="350" customFormat="1" ht="12.75" customHeight="1">
      <c r="A17" s="228" t="s">
        <v>8</v>
      </c>
      <c r="B17" s="384"/>
      <c r="C17" s="224">
        <f>'(A) Budget Summary'!C18</f>
        <v>103544039</v>
      </c>
      <c r="D17" s="385"/>
      <c r="E17" s="227"/>
      <c r="F17" s="227">
        <v>654400</v>
      </c>
      <c r="G17" s="386"/>
      <c r="H17" s="227"/>
      <c r="I17" s="387">
        <f t="shared" si="0"/>
        <v>104198439</v>
      </c>
      <c r="J17" s="388"/>
      <c r="K17" s="227"/>
      <c r="L17" s="228">
        <v>60100</v>
      </c>
      <c r="M17" s="228"/>
      <c r="N17" s="228"/>
      <c r="O17" s="228"/>
      <c r="P17" s="228">
        <v>1798000</v>
      </c>
      <c r="Q17" s="228"/>
      <c r="R17" s="228"/>
      <c r="S17" s="228"/>
      <c r="T17" s="228">
        <v>102200</v>
      </c>
      <c r="U17" s="228"/>
      <c r="V17" s="228"/>
      <c r="W17" s="227"/>
      <c r="X17" s="224">
        <f>322600</f>
        <v>322600</v>
      </c>
      <c r="Y17" s="224"/>
      <c r="Z17" s="224"/>
      <c r="AA17" s="224"/>
      <c r="AB17" s="224"/>
      <c r="AC17" s="224"/>
      <c r="AD17" s="224"/>
      <c r="AE17" s="224"/>
      <c r="AF17" s="224"/>
      <c r="AG17" s="389">
        <v>59900</v>
      </c>
      <c r="AH17" s="224"/>
      <c r="AI17" s="224"/>
      <c r="AJ17" s="273"/>
      <c r="AK17" s="273">
        <f>'(D) Tuition Fee Revenue'!N18+'(E) Tuit Fee Discounts'!L17</f>
        <v>349100</v>
      </c>
      <c r="AL17" s="273"/>
      <c r="AM17" s="224"/>
      <c r="AN17" s="367">
        <f t="shared" si="1"/>
        <v>3346300</v>
      </c>
      <c r="AO17" s="224"/>
      <c r="AP17" s="384"/>
      <c r="AQ17" s="224">
        <f t="shared" si="2"/>
        <v>106890339</v>
      </c>
      <c r="AR17" s="385"/>
      <c r="AS17" s="224"/>
      <c r="AT17" s="390">
        <f t="shared" si="3"/>
        <v>-1215300</v>
      </c>
      <c r="AU17" s="391"/>
      <c r="AV17" s="392"/>
      <c r="AW17" s="393">
        <f t="shared" si="4"/>
        <v>105675039</v>
      </c>
      <c r="AX17" s="394"/>
      <c r="AZ17" s="130"/>
      <c r="BB17" s="383"/>
    </row>
    <row r="18" spans="1:54" s="350" customFormat="1" ht="12.75" customHeight="1">
      <c r="A18" s="228" t="s">
        <v>9</v>
      </c>
      <c r="B18" s="384"/>
      <c r="C18" s="224">
        <f>'(A) Budget Summary'!C19</f>
        <v>23184576</v>
      </c>
      <c r="D18" s="385"/>
      <c r="E18" s="227"/>
      <c r="F18" s="227">
        <v>99000</v>
      </c>
      <c r="G18" s="386"/>
      <c r="H18" s="227"/>
      <c r="I18" s="387">
        <f t="shared" si="0"/>
        <v>23283576</v>
      </c>
      <c r="J18" s="388"/>
      <c r="K18" s="227"/>
      <c r="L18" s="228">
        <v>7900</v>
      </c>
      <c r="M18" s="228"/>
      <c r="N18" s="228"/>
      <c r="O18" s="228"/>
      <c r="P18" s="228">
        <v>244000</v>
      </c>
      <c r="Q18" s="228"/>
      <c r="R18" s="228"/>
      <c r="S18" s="228"/>
      <c r="T18" s="228">
        <v>26000</v>
      </c>
      <c r="U18" s="228"/>
      <c r="V18" s="228"/>
      <c r="W18" s="227"/>
      <c r="X18" s="224">
        <v>0</v>
      </c>
      <c r="Y18" s="224"/>
      <c r="Z18" s="224"/>
      <c r="AA18" s="224">
        <v>451000</v>
      </c>
      <c r="AB18" s="395"/>
      <c r="AC18" s="224"/>
      <c r="AD18" s="224"/>
      <c r="AE18" s="224"/>
      <c r="AF18" s="224"/>
      <c r="AG18" s="389">
        <v>4400</v>
      </c>
      <c r="AH18" s="224"/>
      <c r="AI18" s="224"/>
      <c r="AJ18" s="273"/>
      <c r="AK18" s="273">
        <f>'(D) Tuition Fee Revenue'!N19+'(E) Tuit Fee Discounts'!L18</f>
        <v>168800</v>
      </c>
      <c r="AL18" s="273"/>
      <c r="AM18" s="224"/>
      <c r="AN18" s="367">
        <f t="shared" si="1"/>
        <v>1001100</v>
      </c>
      <c r="AO18" s="224"/>
      <c r="AP18" s="384"/>
      <c r="AQ18" s="224">
        <f t="shared" si="2"/>
        <v>24185676</v>
      </c>
      <c r="AR18" s="385"/>
      <c r="AS18" s="224"/>
      <c r="AT18" s="390">
        <f t="shared" si="3"/>
        <v>-275000</v>
      </c>
      <c r="AU18" s="391"/>
      <c r="AV18" s="392"/>
      <c r="AW18" s="393">
        <f t="shared" si="4"/>
        <v>23910676</v>
      </c>
      <c r="AX18" s="394"/>
      <c r="AZ18" s="130"/>
      <c r="BB18" s="383"/>
    </row>
    <row r="19" spans="1:54" s="350" customFormat="1" ht="12.75" customHeight="1">
      <c r="A19" s="228" t="s">
        <v>10</v>
      </c>
      <c r="B19" s="384"/>
      <c r="C19" s="224">
        <f>'(A) Budget Summary'!C20</f>
        <v>52092783</v>
      </c>
      <c r="D19" s="385"/>
      <c r="E19" s="227"/>
      <c r="F19" s="227">
        <v>256200</v>
      </c>
      <c r="G19" s="386"/>
      <c r="H19" s="227"/>
      <c r="I19" s="387">
        <f t="shared" si="0"/>
        <v>52348983</v>
      </c>
      <c r="J19" s="388"/>
      <c r="K19" s="227"/>
      <c r="L19" s="228">
        <v>25900</v>
      </c>
      <c r="M19" s="228"/>
      <c r="N19" s="228"/>
      <c r="O19" s="228"/>
      <c r="P19" s="228">
        <v>672000</v>
      </c>
      <c r="Q19" s="228"/>
      <c r="R19" s="228"/>
      <c r="S19" s="228"/>
      <c r="T19" s="228">
        <v>49600</v>
      </c>
      <c r="U19" s="228"/>
      <c r="V19" s="228"/>
      <c r="W19" s="227"/>
      <c r="X19" s="224">
        <v>0</v>
      </c>
      <c r="Y19" s="224"/>
      <c r="Z19" s="224"/>
      <c r="AA19" s="224"/>
      <c r="AB19" s="224"/>
      <c r="AC19" s="224"/>
      <c r="AD19" s="224"/>
      <c r="AE19" s="224"/>
      <c r="AF19" s="224"/>
      <c r="AG19" s="389">
        <v>12500</v>
      </c>
      <c r="AH19" s="224"/>
      <c r="AI19" s="224"/>
      <c r="AJ19" s="273"/>
      <c r="AK19" s="273">
        <f>'(D) Tuition Fee Revenue'!N20+'(E) Tuit Fee Discounts'!L19</f>
        <v>753400</v>
      </c>
      <c r="AL19" s="273"/>
      <c r="AM19" s="224"/>
      <c r="AN19" s="367">
        <f t="shared" si="1"/>
        <v>1769600</v>
      </c>
      <c r="AO19" s="224"/>
      <c r="AP19" s="384"/>
      <c r="AQ19" s="224">
        <f t="shared" si="2"/>
        <v>53862383</v>
      </c>
      <c r="AR19" s="385"/>
      <c r="AS19" s="224"/>
      <c r="AT19" s="390">
        <f t="shared" si="3"/>
        <v>-612400</v>
      </c>
      <c r="AU19" s="391"/>
      <c r="AV19" s="392"/>
      <c r="AW19" s="393">
        <f t="shared" si="4"/>
        <v>53249983</v>
      </c>
      <c r="AX19" s="394"/>
      <c r="AZ19" s="130"/>
      <c r="BB19" s="383"/>
    </row>
    <row r="20" spans="1:54" s="350" customFormat="1" ht="12.75" customHeight="1">
      <c r="A20" s="228" t="s">
        <v>11</v>
      </c>
      <c r="B20" s="384"/>
      <c r="C20" s="224">
        <f>'(A) Budget Summary'!C21</f>
        <v>141659296</v>
      </c>
      <c r="D20" s="385"/>
      <c r="E20" s="227"/>
      <c r="F20" s="227">
        <v>1100000</v>
      </c>
      <c r="G20" s="386"/>
      <c r="H20" s="227"/>
      <c r="I20" s="387">
        <f t="shared" si="0"/>
        <v>142759296</v>
      </c>
      <c r="J20" s="388"/>
      <c r="K20" s="227"/>
      <c r="L20" s="228">
        <v>111400</v>
      </c>
      <c r="M20" s="228"/>
      <c r="N20" s="228"/>
      <c r="O20" s="228"/>
      <c r="P20" s="228">
        <v>2926000</v>
      </c>
      <c r="Q20" s="228"/>
      <c r="R20" s="228"/>
      <c r="S20" s="228"/>
      <c r="T20" s="228">
        <v>184000</v>
      </c>
      <c r="U20" s="228"/>
      <c r="V20" s="228"/>
      <c r="W20" s="227"/>
      <c r="X20" s="224">
        <f>165100</f>
        <v>165100</v>
      </c>
      <c r="Y20" s="224"/>
      <c r="Z20" s="224"/>
      <c r="AA20" s="224"/>
      <c r="AB20" s="224"/>
      <c r="AC20" s="224"/>
      <c r="AD20" s="224"/>
      <c r="AE20" s="224"/>
      <c r="AF20" s="224"/>
      <c r="AG20" s="389">
        <v>96600</v>
      </c>
      <c r="AH20" s="224"/>
      <c r="AI20" s="224"/>
      <c r="AJ20" s="273"/>
      <c r="AK20" s="273">
        <f>'(D) Tuition Fee Revenue'!N21+'(E) Tuit Fee Discounts'!L20</f>
        <v>-859400</v>
      </c>
      <c r="AL20" s="273"/>
      <c r="AM20" s="224"/>
      <c r="AN20" s="367">
        <f t="shared" si="1"/>
        <v>3723700</v>
      </c>
      <c r="AO20" s="224"/>
      <c r="AP20" s="384"/>
      <c r="AQ20" s="224">
        <f t="shared" si="2"/>
        <v>145382996</v>
      </c>
      <c r="AR20" s="385"/>
      <c r="AS20" s="224"/>
      <c r="AT20" s="390">
        <f t="shared" si="3"/>
        <v>-1652900</v>
      </c>
      <c r="AU20" s="391"/>
      <c r="AV20" s="392"/>
      <c r="AW20" s="393">
        <f t="shared" si="4"/>
        <v>143730096</v>
      </c>
      <c r="AX20" s="394"/>
      <c r="AZ20" s="130"/>
      <c r="BB20" s="383"/>
    </row>
    <row r="21" spans="1:54" s="350" customFormat="1" ht="12.75" customHeight="1">
      <c r="A21" s="228" t="s">
        <v>12</v>
      </c>
      <c r="B21" s="384"/>
      <c r="C21" s="224">
        <f>'(A) Budget Summary'!C22</f>
        <v>103516842</v>
      </c>
      <c r="D21" s="385"/>
      <c r="E21" s="227"/>
      <c r="F21" s="227">
        <v>702700</v>
      </c>
      <c r="G21" s="386"/>
      <c r="H21" s="227"/>
      <c r="I21" s="387">
        <f t="shared" si="0"/>
        <v>104219542</v>
      </c>
      <c r="J21" s="388"/>
      <c r="K21" s="227"/>
      <c r="L21" s="228">
        <v>72800</v>
      </c>
      <c r="M21" s="228"/>
      <c r="N21" s="228"/>
      <c r="O21" s="228"/>
      <c r="P21" s="228">
        <v>1923000</v>
      </c>
      <c r="Q21" s="228"/>
      <c r="R21" s="228"/>
      <c r="S21" s="228"/>
      <c r="T21" s="228">
        <v>82500</v>
      </c>
      <c r="U21" s="228"/>
      <c r="V21" s="228"/>
      <c r="W21" s="227"/>
      <c r="X21" s="224">
        <f>404000</f>
        <v>404000</v>
      </c>
      <c r="Y21" s="224"/>
      <c r="Z21" s="224"/>
      <c r="AA21" s="224"/>
      <c r="AB21" s="224"/>
      <c r="AC21" s="224"/>
      <c r="AD21" s="224"/>
      <c r="AE21" s="224"/>
      <c r="AF21" s="224"/>
      <c r="AG21" s="389">
        <v>56300</v>
      </c>
      <c r="AH21" s="224"/>
      <c r="AI21" s="224"/>
      <c r="AJ21" s="273"/>
      <c r="AK21" s="273">
        <f>'(D) Tuition Fee Revenue'!N22+'(E) Tuit Fee Discounts'!L21</f>
        <v>-280500</v>
      </c>
      <c r="AL21" s="273"/>
      <c r="AM21" s="224"/>
      <c r="AN21" s="367">
        <f t="shared" si="1"/>
        <v>2960800</v>
      </c>
      <c r="AO21" s="224"/>
      <c r="AP21" s="384"/>
      <c r="AQ21" s="224">
        <f t="shared" si="2"/>
        <v>106477642</v>
      </c>
      <c r="AR21" s="385"/>
      <c r="AS21" s="224"/>
      <c r="AT21" s="390">
        <f t="shared" si="3"/>
        <v>-1210600</v>
      </c>
      <c r="AU21" s="391"/>
      <c r="AV21" s="392"/>
      <c r="AW21" s="393">
        <f t="shared" si="4"/>
        <v>105267042</v>
      </c>
      <c r="AX21" s="394"/>
      <c r="AZ21" s="130"/>
      <c r="BB21" s="383"/>
    </row>
    <row r="22" spans="1:54" s="350" customFormat="1" ht="12.75" customHeight="1">
      <c r="A22" s="228" t="s">
        <v>13</v>
      </c>
      <c r="B22" s="384"/>
      <c r="C22" s="224">
        <f>'(A) Budget Summary'!C23</f>
        <v>116988137</v>
      </c>
      <c r="D22" s="385"/>
      <c r="E22" s="227"/>
      <c r="F22" s="227">
        <v>795000</v>
      </c>
      <c r="G22" s="386"/>
      <c r="H22" s="227"/>
      <c r="I22" s="387">
        <f t="shared" si="0"/>
        <v>117783137</v>
      </c>
      <c r="J22" s="388"/>
      <c r="K22" s="227"/>
      <c r="L22" s="228">
        <v>112200</v>
      </c>
      <c r="M22" s="228"/>
      <c r="N22" s="228"/>
      <c r="O22" s="228"/>
      <c r="P22" s="228">
        <v>2082000</v>
      </c>
      <c r="Q22" s="228"/>
      <c r="R22" s="228"/>
      <c r="S22" s="228"/>
      <c r="T22" s="228">
        <v>116400</v>
      </c>
      <c r="U22" s="228"/>
      <c r="V22" s="228"/>
      <c r="W22" s="227"/>
      <c r="X22" s="224">
        <f>496100</f>
        <v>496100</v>
      </c>
      <c r="Y22" s="224"/>
      <c r="Z22" s="224"/>
      <c r="AA22" s="224"/>
      <c r="AB22" s="224"/>
      <c r="AC22" s="224"/>
      <c r="AD22" s="224"/>
      <c r="AE22" s="224"/>
      <c r="AF22" s="224"/>
      <c r="AG22" s="389">
        <v>70900</v>
      </c>
      <c r="AH22" s="224"/>
      <c r="AI22" s="224"/>
      <c r="AJ22" s="273"/>
      <c r="AK22" s="273">
        <f>'(D) Tuition Fee Revenue'!N23+'(E) Tuit Fee Discounts'!L22</f>
        <v>44100</v>
      </c>
      <c r="AL22" s="273"/>
      <c r="AM22" s="224"/>
      <c r="AN22" s="367">
        <f t="shared" si="1"/>
        <v>3716700</v>
      </c>
      <c r="AO22" s="224"/>
      <c r="AP22" s="384"/>
      <c r="AQ22" s="224">
        <f t="shared" si="2"/>
        <v>120704837</v>
      </c>
      <c r="AR22" s="385"/>
      <c r="AS22" s="224"/>
      <c r="AT22" s="390">
        <f t="shared" si="3"/>
        <v>-1372300</v>
      </c>
      <c r="AU22" s="391"/>
      <c r="AV22" s="392"/>
      <c r="AW22" s="393">
        <f t="shared" si="4"/>
        <v>119332537</v>
      </c>
      <c r="AX22" s="394"/>
      <c r="AZ22" s="130"/>
      <c r="BB22" s="383"/>
    </row>
    <row r="23" spans="1:54" s="350" customFormat="1" ht="12.75" customHeight="1">
      <c r="A23" s="228" t="s">
        <v>14</v>
      </c>
      <c r="B23" s="384"/>
      <c r="C23" s="224">
        <f>'(A) Budget Summary'!C24</f>
        <v>78595208</v>
      </c>
      <c r="D23" s="385"/>
      <c r="E23" s="227"/>
      <c r="F23" s="227">
        <v>573000</v>
      </c>
      <c r="G23" s="386"/>
      <c r="H23" s="227"/>
      <c r="I23" s="387">
        <f t="shared" si="0"/>
        <v>79168208</v>
      </c>
      <c r="J23" s="388"/>
      <c r="K23" s="227"/>
      <c r="L23" s="228">
        <v>55300</v>
      </c>
      <c r="M23" s="228"/>
      <c r="N23" s="228"/>
      <c r="O23" s="228"/>
      <c r="P23" s="228">
        <v>1538000</v>
      </c>
      <c r="Q23" s="228"/>
      <c r="R23" s="228"/>
      <c r="S23" s="228"/>
      <c r="T23" s="228">
        <v>77200</v>
      </c>
      <c r="U23" s="228"/>
      <c r="V23" s="228"/>
      <c r="W23" s="227"/>
      <c r="X23" s="224">
        <f>490000</f>
        <v>490000</v>
      </c>
      <c r="Y23" s="224"/>
      <c r="Z23" s="224"/>
      <c r="AA23" s="224">
        <v>450000</v>
      </c>
      <c r="AB23" s="395"/>
      <c r="AC23" s="224"/>
      <c r="AD23" s="224"/>
      <c r="AE23" s="224"/>
      <c r="AF23" s="224"/>
      <c r="AG23" s="389">
        <v>51300</v>
      </c>
      <c r="AH23" s="224"/>
      <c r="AI23" s="224"/>
      <c r="AJ23" s="273"/>
      <c r="AK23" s="273">
        <f>'(D) Tuition Fee Revenue'!N24+'(E) Tuit Fee Discounts'!L23</f>
        <v>-547700</v>
      </c>
      <c r="AL23" s="273"/>
      <c r="AM23" s="224"/>
      <c r="AN23" s="367">
        <f t="shared" si="1"/>
        <v>2687100</v>
      </c>
      <c r="AO23" s="224"/>
      <c r="AP23" s="384"/>
      <c r="AQ23" s="224">
        <f t="shared" si="2"/>
        <v>81282308</v>
      </c>
      <c r="AR23" s="385"/>
      <c r="AS23" s="224"/>
      <c r="AT23" s="390">
        <f t="shared" si="3"/>
        <v>-924100</v>
      </c>
      <c r="AU23" s="391"/>
      <c r="AV23" s="392"/>
      <c r="AW23" s="393">
        <f t="shared" si="4"/>
        <v>80358208</v>
      </c>
      <c r="AX23" s="394"/>
      <c r="AZ23" s="130"/>
      <c r="BB23" s="383"/>
    </row>
    <row r="24" spans="1:54" s="350" customFormat="1" ht="12.75" customHeight="1">
      <c r="A24" s="228" t="s">
        <v>15</v>
      </c>
      <c r="B24" s="384"/>
      <c r="C24" s="224">
        <f>'(A) Budget Summary'!C25</f>
        <v>143411096</v>
      </c>
      <c r="D24" s="385"/>
      <c r="E24" s="227"/>
      <c r="F24" s="227">
        <v>1085500</v>
      </c>
      <c r="G24" s="386"/>
      <c r="H24" s="227"/>
      <c r="I24" s="387">
        <f t="shared" si="0"/>
        <v>144496596</v>
      </c>
      <c r="J24" s="388"/>
      <c r="K24" s="227"/>
      <c r="L24" s="228">
        <v>87100</v>
      </c>
      <c r="M24" s="228"/>
      <c r="N24" s="228"/>
      <c r="O24" s="228"/>
      <c r="P24" s="228">
        <v>2796000</v>
      </c>
      <c r="Q24" s="228"/>
      <c r="R24" s="228"/>
      <c r="S24" s="228"/>
      <c r="T24" s="228">
        <v>163900</v>
      </c>
      <c r="U24" s="228"/>
      <c r="V24" s="228"/>
      <c r="W24" s="227"/>
      <c r="X24" s="224">
        <f>290300</f>
        <v>290300</v>
      </c>
      <c r="Y24" s="224"/>
      <c r="Z24" s="224"/>
      <c r="AA24" s="224"/>
      <c r="AB24" s="224"/>
      <c r="AC24" s="224"/>
      <c r="AD24" s="224"/>
      <c r="AE24" s="224"/>
      <c r="AF24" s="224"/>
      <c r="AG24" s="389">
        <v>92600</v>
      </c>
      <c r="AH24" s="224"/>
      <c r="AI24" s="224"/>
      <c r="AJ24" s="273"/>
      <c r="AK24" s="273">
        <f>'(D) Tuition Fee Revenue'!N25+'(E) Tuit Fee Discounts'!L24</f>
        <v>-1106100</v>
      </c>
      <c r="AL24" s="273"/>
      <c r="AM24" s="224"/>
      <c r="AN24" s="367">
        <f t="shared" si="1"/>
        <v>3409300</v>
      </c>
      <c r="AO24" s="224"/>
      <c r="AP24" s="384"/>
      <c r="AQ24" s="224">
        <f t="shared" si="2"/>
        <v>146820396</v>
      </c>
      <c r="AR24" s="385"/>
      <c r="AS24" s="224"/>
      <c r="AT24" s="390">
        <f t="shared" si="3"/>
        <v>-1669200</v>
      </c>
      <c r="AU24" s="391"/>
      <c r="AV24" s="392"/>
      <c r="AW24" s="393">
        <f t="shared" si="4"/>
        <v>145151196</v>
      </c>
      <c r="AX24" s="394"/>
      <c r="AZ24" s="130"/>
      <c r="BB24" s="383"/>
    </row>
    <row r="25" spans="1:54" s="350" customFormat="1" ht="12.75" customHeight="1">
      <c r="A25" s="228" t="s">
        <v>16</v>
      </c>
      <c r="B25" s="384"/>
      <c r="C25" s="224">
        <f>'(A) Budget Summary'!C26</f>
        <v>120275359</v>
      </c>
      <c r="D25" s="385"/>
      <c r="E25" s="227"/>
      <c r="F25" s="227">
        <v>1001300</v>
      </c>
      <c r="G25" s="386"/>
      <c r="H25" s="227"/>
      <c r="I25" s="387">
        <f t="shared" si="0"/>
        <v>121276659</v>
      </c>
      <c r="J25" s="388"/>
      <c r="K25" s="227"/>
      <c r="L25" s="228">
        <v>34500</v>
      </c>
      <c r="M25" s="228"/>
      <c r="N25" s="228"/>
      <c r="O25" s="228"/>
      <c r="P25" s="228">
        <v>2613000</v>
      </c>
      <c r="Q25" s="228"/>
      <c r="R25" s="228"/>
      <c r="S25" s="228"/>
      <c r="T25" s="228">
        <v>117200</v>
      </c>
      <c r="U25" s="228"/>
      <c r="V25" s="228"/>
      <c r="W25" s="227"/>
      <c r="X25" s="224">
        <f>675000</f>
        <v>675000</v>
      </c>
      <c r="Y25" s="224"/>
      <c r="Z25" s="224"/>
      <c r="AA25" s="224"/>
      <c r="AB25" s="224"/>
      <c r="AC25" s="224"/>
      <c r="AD25" s="224"/>
      <c r="AE25" s="224"/>
      <c r="AF25" s="224"/>
      <c r="AG25" s="389">
        <v>82600</v>
      </c>
      <c r="AH25" s="224"/>
      <c r="AI25" s="224"/>
      <c r="AJ25" s="273"/>
      <c r="AK25" s="273">
        <f>'(D) Tuition Fee Revenue'!N26+'(E) Tuit Fee Discounts'!L25</f>
        <v>-178500</v>
      </c>
      <c r="AL25" s="273"/>
      <c r="AM25" s="224"/>
      <c r="AN25" s="367">
        <f t="shared" si="1"/>
        <v>4345100</v>
      </c>
      <c r="AO25" s="224"/>
      <c r="AP25" s="384"/>
      <c r="AQ25" s="224">
        <f t="shared" si="2"/>
        <v>124620459</v>
      </c>
      <c r="AR25" s="385"/>
      <c r="AS25" s="224"/>
      <c r="AT25" s="390">
        <f t="shared" si="3"/>
        <v>-1416800</v>
      </c>
      <c r="AU25" s="391"/>
      <c r="AV25" s="392"/>
      <c r="AW25" s="393">
        <f t="shared" si="4"/>
        <v>123203659</v>
      </c>
      <c r="AX25" s="394"/>
      <c r="AZ25" s="130"/>
      <c r="BB25" s="383"/>
    </row>
    <row r="26" spans="1:54" s="350" customFormat="1" ht="12.75" customHeight="1">
      <c r="A26" s="228" t="s">
        <v>17</v>
      </c>
      <c r="B26" s="384"/>
      <c r="C26" s="224">
        <f>'(A) Budget Summary'!C27</f>
        <v>111094782</v>
      </c>
      <c r="D26" s="385"/>
      <c r="E26" s="227"/>
      <c r="F26" s="227">
        <v>921200</v>
      </c>
      <c r="G26" s="386"/>
      <c r="H26" s="227"/>
      <c r="I26" s="387">
        <f t="shared" si="0"/>
        <v>112015982</v>
      </c>
      <c r="J26" s="388"/>
      <c r="K26" s="227"/>
      <c r="L26" s="228">
        <v>72700</v>
      </c>
      <c r="M26" s="228"/>
      <c r="N26" s="228"/>
      <c r="O26" s="228"/>
      <c r="P26" s="228">
        <v>2500000</v>
      </c>
      <c r="Q26" s="228"/>
      <c r="R26" s="228"/>
      <c r="S26" s="228"/>
      <c r="T26" s="228">
        <v>130900</v>
      </c>
      <c r="U26" s="228"/>
      <c r="V26" s="228"/>
      <c r="W26" s="227"/>
      <c r="X26" s="224">
        <f>350000</f>
        <v>350000</v>
      </c>
      <c r="Y26" s="224"/>
      <c r="Z26" s="224"/>
      <c r="AA26" s="224"/>
      <c r="AB26" s="224"/>
      <c r="AC26" s="224"/>
      <c r="AD26" s="224"/>
      <c r="AE26" s="224"/>
      <c r="AF26" s="224"/>
      <c r="AG26" s="389">
        <v>84500</v>
      </c>
      <c r="AH26" s="224"/>
      <c r="AI26" s="224"/>
      <c r="AJ26" s="273"/>
      <c r="AK26" s="273">
        <f>'(D) Tuition Fee Revenue'!N27+'(E) Tuit Fee Discounts'!L26</f>
        <v>1543500</v>
      </c>
      <c r="AL26" s="273"/>
      <c r="AM26" s="224"/>
      <c r="AN26" s="367">
        <f t="shared" si="1"/>
        <v>5602800</v>
      </c>
      <c r="AO26" s="224"/>
      <c r="AP26" s="384"/>
      <c r="AQ26" s="224">
        <f t="shared" si="2"/>
        <v>116697582</v>
      </c>
      <c r="AR26" s="385"/>
      <c r="AS26" s="224"/>
      <c r="AT26" s="390">
        <f>-ROUND(((AQ26/($AQ$32+$AQ$34))*24535000)/100,0)*100+100</f>
        <v>-1326700</v>
      </c>
      <c r="AU26" s="391"/>
      <c r="AV26" s="392"/>
      <c r="AW26" s="393">
        <f t="shared" si="4"/>
        <v>115370882</v>
      </c>
      <c r="AX26" s="394"/>
      <c r="AZ26" s="130"/>
      <c r="BB26" s="383"/>
    </row>
    <row r="27" spans="1:54" s="350" customFormat="1" ht="12.75" customHeight="1">
      <c r="A27" s="228" t="s">
        <v>18</v>
      </c>
      <c r="B27" s="384"/>
      <c r="C27" s="224">
        <f>'(A) Budget Summary'!C28</f>
        <v>95997068</v>
      </c>
      <c r="D27" s="385"/>
      <c r="E27" s="227"/>
      <c r="F27" s="227">
        <v>862800</v>
      </c>
      <c r="G27" s="386"/>
      <c r="H27" s="227"/>
      <c r="I27" s="387">
        <f t="shared" si="0"/>
        <v>96859868</v>
      </c>
      <c r="J27" s="388"/>
      <c r="K27" s="227"/>
      <c r="L27" s="228">
        <v>80100</v>
      </c>
      <c r="M27" s="228"/>
      <c r="N27" s="228"/>
      <c r="O27" s="228"/>
      <c r="P27" s="228">
        <v>2107000</v>
      </c>
      <c r="Q27" s="228"/>
      <c r="R27" s="228"/>
      <c r="S27" s="228"/>
      <c r="T27" s="228">
        <v>131900</v>
      </c>
      <c r="U27" s="228"/>
      <c r="V27" s="228"/>
      <c r="W27" s="227"/>
      <c r="X27" s="224">
        <f>675000</f>
        <v>675000</v>
      </c>
      <c r="Y27" s="224"/>
      <c r="Z27" s="224"/>
      <c r="AA27" s="224"/>
      <c r="AB27" s="224"/>
      <c r="AC27" s="224"/>
      <c r="AD27" s="224"/>
      <c r="AE27" s="224"/>
      <c r="AF27" s="224"/>
      <c r="AG27" s="389">
        <v>70500</v>
      </c>
      <c r="AH27" s="224"/>
      <c r="AI27" s="224"/>
      <c r="AJ27" s="273"/>
      <c r="AK27" s="273">
        <f>'(D) Tuition Fee Revenue'!N28+'(E) Tuit Fee Discounts'!L27</f>
        <v>-977600</v>
      </c>
      <c r="AL27" s="273"/>
      <c r="AM27" s="224"/>
      <c r="AN27" s="367">
        <f t="shared" si="1"/>
        <v>2949700</v>
      </c>
      <c r="AO27" s="224"/>
      <c r="AP27" s="384"/>
      <c r="AQ27" s="224">
        <f t="shared" si="2"/>
        <v>98946768</v>
      </c>
      <c r="AR27" s="385"/>
      <c r="AS27" s="224"/>
      <c r="AT27" s="390">
        <f t="shared" si="3"/>
        <v>-1124900</v>
      </c>
      <c r="AU27" s="391"/>
      <c r="AV27" s="392"/>
      <c r="AW27" s="393">
        <f t="shared" si="4"/>
        <v>97821868</v>
      </c>
      <c r="AX27" s="394"/>
      <c r="AZ27" s="130"/>
      <c r="BB27" s="383"/>
    </row>
    <row r="28" spans="1:54" s="350" customFormat="1" ht="12.75" customHeight="1">
      <c r="A28" s="228" t="s">
        <v>19</v>
      </c>
      <c r="B28" s="384"/>
      <c r="C28" s="224">
        <f>'(A) Budget Summary'!C29</f>
        <v>55597552</v>
      </c>
      <c r="D28" s="385"/>
      <c r="E28" s="227"/>
      <c r="F28" s="227">
        <v>390100</v>
      </c>
      <c r="G28" s="386"/>
      <c r="H28" s="227"/>
      <c r="I28" s="387">
        <f t="shared" si="0"/>
        <v>55987652</v>
      </c>
      <c r="J28" s="388"/>
      <c r="K28" s="227"/>
      <c r="L28" s="228">
        <v>37700</v>
      </c>
      <c r="M28" s="228"/>
      <c r="N28" s="228"/>
      <c r="O28" s="228"/>
      <c r="P28" s="228">
        <v>992000</v>
      </c>
      <c r="Q28" s="228"/>
      <c r="R28" s="228"/>
      <c r="S28" s="228"/>
      <c r="T28" s="228">
        <v>43400</v>
      </c>
      <c r="U28" s="228"/>
      <c r="V28" s="228"/>
      <c r="W28" s="227"/>
      <c r="X28" s="224">
        <v>0</v>
      </c>
      <c r="Y28" s="224"/>
      <c r="Z28" s="224"/>
      <c r="AA28" s="224"/>
      <c r="AB28" s="224"/>
      <c r="AC28" s="224"/>
      <c r="AD28" s="224"/>
      <c r="AE28" s="224"/>
      <c r="AF28" s="224"/>
      <c r="AG28" s="389">
        <v>27400</v>
      </c>
      <c r="AH28" s="224"/>
      <c r="AI28" s="224"/>
      <c r="AJ28" s="273"/>
      <c r="AK28" s="273">
        <f>'(D) Tuition Fee Revenue'!N29+'(E) Tuit Fee Discounts'!L28</f>
        <v>318000</v>
      </c>
      <c r="AL28" s="273"/>
      <c r="AM28" s="224"/>
      <c r="AN28" s="367">
        <f t="shared" si="1"/>
        <v>1808600</v>
      </c>
      <c r="AO28" s="224"/>
      <c r="AP28" s="384"/>
      <c r="AQ28" s="224">
        <f t="shared" si="2"/>
        <v>57406152</v>
      </c>
      <c r="AR28" s="385"/>
      <c r="AS28" s="224"/>
      <c r="AT28" s="390">
        <f t="shared" si="3"/>
        <v>-652700</v>
      </c>
      <c r="AU28" s="391"/>
      <c r="AV28" s="392"/>
      <c r="AW28" s="393">
        <f t="shared" si="4"/>
        <v>56753452</v>
      </c>
      <c r="AX28" s="394"/>
      <c r="AZ28" s="130"/>
      <c r="BB28" s="383"/>
    </row>
    <row r="29" spans="1:54" s="350" customFormat="1" ht="12.75" customHeight="1">
      <c r="A29" s="228" t="s">
        <v>20</v>
      </c>
      <c r="B29" s="384"/>
      <c r="C29" s="224">
        <f>'(A) Budget Summary'!C30</f>
        <v>49467083</v>
      </c>
      <c r="D29" s="385"/>
      <c r="E29" s="227"/>
      <c r="F29" s="227">
        <v>331700</v>
      </c>
      <c r="G29" s="386"/>
      <c r="H29" s="227"/>
      <c r="I29" s="387">
        <f t="shared" si="0"/>
        <v>49798783</v>
      </c>
      <c r="J29" s="388"/>
      <c r="K29" s="227"/>
      <c r="L29" s="228">
        <v>44700</v>
      </c>
      <c r="M29" s="228"/>
      <c r="N29" s="228"/>
      <c r="O29" s="228"/>
      <c r="P29" s="228">
        <v>842000</v>
      </c>
      <c r="Q29" s="228"/>
      <c r="R29" s="228"/>
      <c r="S29" s="228"/>
      <c r="T29" s="228">
        <v>46200</v>
      </c>
      <c r="U29" s="228"/>
      <c r="V29" s="228"/>
      <c r="W29" s="227"/>
      <c r="X29" s="224">
        <f>527200</f>
        <v>527200</v>
      </c>
      <c r="Y29" s="224"/>
      <c r="Z29" s="224"/>
      <c r="AA29" s="224"/>
      <c r="AB29" s="224"/>
      <c r="AC29" s="224"/>
      <c r="AD29" s="224"/>
      <c r="AE29" s="224"/>
      <c r="AF29" s="224"/>
      <c r="AG29" s="389">
        <v>22900</v>
      </c>
      <c r="AH29" s="224"/>
      <c r="AI29" s="224"/>
      <c r="AJ29" s="273"/>
      <c r="AK29" s="273">
        <f>'(D) Tuition Fee Revenue'!N30+'(E) Tuit Fee Discounts'!L29</f>
        <v>-636600</v>
      </c>
      <c r="AL29" s="273"/>
      <c r="AM29" s="224"/>
      <c r="AN29" s="367">
        <f t="shared" si="1"/>
        <v>1178100</v>
      </c>
      <c r="AO29" s="224"/>
      <c r="AP29" s="384"/>
      <c r="AQ29" s="224">
        <f t="shared" si="2"/>
        <v>50645183</v>
      </c>
      <c r="AR29" s="385"/>
      <c r="AS29" s="224"/>
      <c r="AT29" s="390">
        <f t="shared" si="3"/>
        <v>-575800</v>
      </c>
      <c r="AU29" s="391"/>
      <c r="AV29" s="392"/>
      <c r="AW29" s="393">
        <f t="shared" si="4"/>
        <v>50069383</v>
      </c>
      <c r="AX29" s="394"/>
      <c r="AZ29" s="130"/>
      <c r="BB29" s="383"/>
    </row>
    <row r="30" spans="1:54" s="350" customFormat="1" ht="12.75" customHeight="1">
      <c r="A30" s="228" t="s">
        <v>21</v>
      </c>
      <c r="B30" s="384"/>
      <c r="C30" s="224">
        <f>'(A) Budget Summary'!C31</f>
        <v>49835547</v>
      </c>
      <c r="D30" s="385"/>
      <c r="E30" s="227"/>
      <c r="F30" s="227">
        <v>290400</v>
      </c>
      <c r="G30" s="386"/>
      <c r="H30" s="227"/>
      <c r="I30" s="387">
        <f t="shared" si="0"/>
        <v>50125947</v>
      </c>
      <c r="J30" s="388"/>
      <c r="K30" s="227"/>
      <c r="L30" s="228">
        <v>41700</v>
      </c>
      <c r="M30" s="228"/>
      <c r="N30" s="228"/>
      <c r="O30" s="228"/>
      <c r="P30" s="228">
        <v>740000</v>
      </c>
      <c r="Q30" s="228"/>
      <c r="R30" s="228"/>
      <c r="S30" s="228"/>
      <c r="T30" s="228">
        <v>53100</v>
      </c>
      <c r="U30" s="228"/>
      <c r="V30" s="228"/>
      <c r="W30" s="227"/>
      <c r="X30" s="224">
        <v>0</v>
      </c>
      <c r="Y30" s="224"/>
      <c r="Z30" s="224"/>
      <c r="AA30" s="224"/>
      <c r="AB30" s="224"/>
      <c r="AC30" s="224"/>
      <c r="AD30" s="224"/>
      <c r="AE30" s="224"/>
      <c r="AF30" s="224"/>
      <c r="AG30" s="389">
        <v>22100</v>
      </c>
      <c r="AH30" s="224"/>
      <c r="AI30" s="224"/>
      <c r="AJ30" s="273"/>
      <c r="AK30" s="273">
        <f>'(D) Tuition Fee Revenue'!N31+'(E) Tuit Fee Discounts'!L30</f>
        <v>-647900</v>
      </c>
      <c r="AL30" s="273"/>
      <c r="AM30" s="224"/>
      <c r="AN30" s="367">
        <f t="shared" si="1"/>
        <v>499400</v>
      </c>
      <c r="AO30" s="224"/>
      <c r="AP30" s="384"/>
      <c r="AQ30" s="224">
        <f t="shared" si="2"/>
        <v>50334947</v>
      </c>
      <c r="AR30" s="385"/>
      <c r="AS30" s="224"/>
      <c r="AT30" s="390">
        <f t="shared" si="3"/>
        <v>-572300</v>
      </c>
      <c r="AU30" s="391"/>
      <c r="AV30" s="392"/>
      <c r="AW30" s="393">
        <f t="shared" si="4"/>
        <v>49762647</v>
      </c>
      <c r="AX30" s="394"/>
      <c r="AZ30" s="130"/>
      <c r="BB30" s="383"/>
    </row>
    <row r="31" spans="1:54" s="350" customFormat="1" ht="6" customHeight="1">
      <c r="A31" s="228"/>
      <c r="B31" s="384"/>
      <c r="C31" s="224"/>
      <c r="D31" s="385"/>
      <c r="E31" s="228"/>
      <c r="F31" s="228"/>
      <c r="G31" s="228"/>
      <c r="H31" s="228"/>
      <c r="I31" s="367"/>
      <c r="J31" s="224"/>
      <c r="K31" s="228"/>
      <c r="L31" s="223"/>
      <c r="M31" s="223"/>
      <c r="N31" s="223"/>
      <c r="O31" s="223"/>
      <c r="P31" s="223"/>
      <c r="Q31" s="223"/>
      <c r="R31" s="223"/>
      <c r="S31" s="223"/>
      <c r="T31" s="223"/>
      <c r="U31" s="223"/>
      <c r="V31" s="223"/>
      <c r="W31" s="228"/>
      <c r="X31" s="224"/>
      <c r="Y31" s="224"/>
      <c r="Z31" s="224"/>
      <c r="AA31" s="224"/>
      <c r="AB31" s="224"/>
      <c r="AC31" s="224"/>
      <c r="AD31" s="224"/>
      <c r="AE31" s="224"/>
      <c r="AF31" s="224"/>
      <c r="AG31" s="224"/>
      <c r="AH31" s="224"/>
      <c r="AI31" s="224"/>
      <c r="AJ31" s="274"/>
      <c r="AK31" s="274"/>
      <c r="AL31" s="275"/>
      <c r="AM31" s="224"/>
      <c r="AN31" s="367"/>
      <c r="AO31" s="224"/>
      <c r="AP31" s="384"/>
      <c r="AQ31" s="224"/>
      <c r="AR31" s="385"/>
      <c r="AS31" s="224"/>
      <c r="AT31" s="405"/>
      <c r="AU31" s="130"/>
      <c r="AV31" s="365"/>
      <c r="AW31" s="130"/>
      <c r="AX31" s="394"/>
      <c r="AZ31" s="130"/>
      <c r="BB31" s="383"/>
    </row>
    <row r="32" spans="1:52" s="383" customFormat="1" ht="15">
      <c r="A32" s="229" t="s">
        <v>22</v>
      </c>
      <c r="B32" s="396"/>
      <c r="C32" s="229">
        <f>SUM(C8:C30)</f>
        <v>2000720571.1599998</v>
      </c>
      <c r="D32" s="397"/>
      <c r="E32" s="229"/>
      <c r="F32" s="229">
        <f>SUM(F8:F31)</f>
        <v>14310500</v>
      </c>
      <c r="G32" s="229"/>
      <c r="H32" s="229"/>
      <c r="I32" s="398">
        <f>SUM(I8:I31)</f>
        <v>2015031071.1599998</v>
      </c>
      <c r="J32" s="229"/>
      <c r="K32" s="229"/>
      <c r="L32" s="121">
        <f>SUM(L8:L31)</f>
        <v>1298500</v>
      </c>
      <c r="M32" s="121"/>
      <c r="N32" s="121"/>
      <c r="O32" s="121"/>
      <c r="P32" s="121">
        <f>SUM(P8:P31)</f>
        <v>37311000</v>
      </c>
      <c r="Q32" s="121"/>
      <c r="R32" s="121"/>
      <c r="S32" s="121"/>
      <c r="T32" s="121">
        <f>SUM(T8:T31)</f>
        <v>2149400</v>
      </c>
      <c r="U32" s="121"/>
      <c r="V32" s="121"/>
      <c r="W32" s="229"/>
      <c r="X32" s="229">
        <f>SUM(X8:X30)</f>
        <v>7084200</v>
      </c>
      <c r="Y32" s="229"/>
      <c r="Z32" s="229"/>
      <c r="AA32" s="229">
        <f>SUM(AA8:AA30)</f>
        <v>5755000</v>
      </c>
      <c r="AB32" s="163"/>
      <c r="AC32" s="229"/>
      <c r="AD32" s="229">
        <f>SUM(AD8:AD30)</f>
        <v>0</v>
      </c>
      <c r="AE32" s="229"/>
      <c r="AF32" s="229"/>
      <c r="AG32" s="229">
        <f>SUM(AG8:AG30)</f>
        <v>1179000</v>
      </c>
      <c r="AH32" s="229"/>
      <c r="AI32" s="229"/>
      <c r="AJ32" s="276"/>
      <c r="AK32" s="277">
        <f>SUM(AK8:AK31)</f>
        <v>0</v>
      </c>
      <c r="AL32" s="274"/>
      <c r="AM32" s="229"/>
      <c r="AN32" s="398">
        <f>SUM(AN8:AN31)</f>
        <v>69087600</v>
      </c>
      <c r="AO32" s="229"/>
      <c r="AP32" s="396"/>
      <c r="AQ32" s="229">
        <f>SUM(AQ8:AQ31)</f>
        <v>2069808171.1599998</v>
      </c>
      <c r="AR32" s="397"/>
      <c r="AS32" s="226"/>
      <c r="AT32" s="399">
        <f>SUM(AT8:AT31)</f>
        <v>-23532000</v>
      </c>
      <c r="AU32" s="159"/>
      <c r="AV32" s="400"/>
      <c r="AW32" s="163">
        <f>SUM(AW8:AW30)</f>
        <v>2046276171.1599998</v>
      </c>
      <c r="AX32" s="401"/>
      <c r="AZ32" s="159"/>
    </row>
    <row r="33" spans="1:54" s="350" customFormat="1" ht="6" customHeight="1">
      <c r="A33" s="228"/>
      <c r="B33" s="384"/>
      <c r="C33" s="224"/>
      <c r="D33" s="385"/>
      <c r="E33" s="228"/>
      <c r="F33" s="228"/>
      <c r="G33" s="228"/>
      <c r="H33" s="228"/>
      <c r="I33" s="367"/>
      <c r="J33" s="224"/>
      <c r="K33" s="228"/>
      <c r="L33" s="223"/>
      <c r="M33" s="223"/>
      <c r="N33" s="223"/>
      <c r="O33" s="223"/>
      <c r="P33" s="223"/>
      <c r="Q33" s="223"/>
      <c r="R33" s="223"/>
      <c r="S33" s="223"/>
      <c r="T33" s="223"/>
      <c r="U33" s="223"/>
      <c r="V33" s="223"/>
      <c r="W33" s="228"/>
      <c r="X33" s="224"/>
      <c r="Y33" s="224"/>
      <c r="Z33" s="224"/>
      <c r="AA33" s="224"/>
      <c r="AB33" s="224"/>
      <c r="AC33" s="224"/>
      <c r="AD33" s="224"/>
      <c r="AE33" s="224"/>
      <c r="AF33" s="224"/>
      <c r="AG33" s="224"/>
      <c r="AH33" s="224"/>
      <c r="AI33" s="224"/>
      <c r="AJ33" s="273"/>
      <c r="AK33" s="273"/>
      <c r="AL33" s="278"/>
      <c r="AM33" s="224"/>
      <c r="AN33" s="367"/>
      <c r="AO33" s="224"/>
      <c r="AP33" s="384"/>
      <c r="AQ33" s="224"/>
      <c r="AR33" s="385"/>
      <c r="AS33" s="224"/>
      <c r="AT33" s="371"/>
      <c r="AU33" s="130"/>
      <c r="AV33" s="365"/>
      <c r="AW33" s="130"/>
      <c r="AX33" s="394"/>
      <c r="AZ33" s="130"/>
      <c r="BB33" s="383"/>
    </row>
    <row r="34" spans="1:54" s="350" customFormat="1" ht="12.75" customHeight="1">
      <c r="A34" s="228" t="s">
        <v>23</v>
      </c>
      <c r="B34" s="384"/>
      <c r="C34" s="224">
        <f>'(A) Budget Summary'!C35</f>
        <v>74562862</v>
      </c>
      <c r="D34" s="385"/>
      <c r="E34" s="227"/>
      <c r="F34" s="230">
        <v>294100</v>
      </c>
      <c r="G34" s="402"/>
      <c r="H34" s="227"/>
      <c r="I34" s="387">
        <f aca="true" t="shared" si="5" ref="I34:I39">C34+F34</f>
        <v>74856962</v>
      </c>
      <c r="J34" s="388"/>
      <c r="K34" s="227"/>
      <c r="L34" s="224">
        <v>0</v>
      </c>
      <c r="M34" s="223"/>
      <c r="N34" s="223"/>
      <c r="O34" s="223"/>
      <c r="P34" s="223">
        <v>689000</v>
      </c>
      <c r="Q34" s="223"/>
      <c r="R34" s="223"/>
      <c r="S34" s="223"/>
      <c r="T34" s="224">
        <v>0</v>
      </c>
      <c r="U34" s="223"/>
      <c r="V34" s="223"/>
      <c r="W34" s="227"/>
      <c r="X34" s="224">
        <f>10000000+115800</f>
        <v>10115800</v>
      </c>
      <c r="Y34" s="224"/>
      <c r="Z34" s="224"/>
      <c r="AA34" s="224"/>
      <c r="AB34" s="224"/>
      <c r="AC34" s="224"/>
      <c r="AD34" s="224">
        <f>58162+12000+1000000+339412+308205+129082+179011+6706+100000+210584+215375</f>
        <v>2558537</v>
      </c>
      <c r="AE34" s="224"/>
      <c r="AF34" s="224"/>
      <c r="AG34" s="224">
        <v>0</v>
      </c>
      <c r="AH34" s="224"/>
      <c r="AI34" s="224"/>
      <c r="AJ34" s="273"/>
      <c r="AK34" s="273">
        <f>'(D) Tuition Fee Revenue'!N35+'(E) Tuit Fee Discounts'!L34</f>
        <v>0</v>
      </c>
      <c r="AL34" s="273"/>
      <c r="AM34" s="224"/>
      <c r="AN34" s="367">
        <f>SUM(L34:AK34)+F34</f>
        <v>13657437</v>
      </c>
      <c r="AO34" s="224"/>
      <c r="AP34" s="384"/>
      <c r="AQ34" s="224">
        <f aca="true" t="shared" si="6" ref="AQ34:AQ39">C34+AN34</f>
        <v>88220299</v>
      </c>
      <c r="AR34" s="385"/>
      <c r="AS34" s="224"/>
      <c r="AT34" s="390">
        <f>-ROUND(((AQ34/($AQ$32+$AQ$34))*24535000)/100,0)*100</f>
        <v>-1003000</v>
      </c>
      <c r="AU34" s="391"/>
      <c r="AV34" s="365"/>
      <c r="AW34" s="393">
        <f aca="true" t="shared" si="7" ref="AW34:AW39">AQ34+AT34</f>
        <v>87217299</v>
      </c>
      <c r="AX34" s="394"/>
      <c r="AZ34" s="130"/>
      <c r="BB34" s="383"/>
    </row>
    <row r="35" spans="1:54" s="350" customFormat="1" ht="12.75" customHeight="1">
      <c r="A35" s="228" t="s">
        <v>29</v>
      </c>
      <c r="B35" s="384"/>
      <c r="C35" s="224">
        <f>'(A) Budget Summary'!C36</f>
        <v>884735</v>
      </c>
      <c r="D35" s="385"/>
      <c r="E35" s="228"/>
      <c r="F35" s="227">
        <v>0</v>
      </c>
      <c r="G35" s="227"/>
      <c r="H35" s="228"/>
      <c r="I35" s="387">
        <f t="shared" si="5"/>
        <v>884735</v>
      </c>
      <c r="J35" s="388"/>
      <c r="K35" s="228"/>
      <c r="L35" s="224">
        <v>0</v>
      </c>
      <c r="M35" s="223"/>
      <c r="N35" s="223"/>
      <c r="O35" s="223"/>
      <c r="P35" s="224">
        <v>0</v>
      </c>
      <c r="Q35" s="223"/>
      <c r="R35" s="223"/>
      <c r="S35" s="223"/>
      <c r="T35" s="224">
        <v>0</v>
      </c>
      <c r="U35" s="223"/>
      <c r="V35" s="223"/>
      <c r="W35" s="228"/>
      <c r="X35" s="224">
        <v>0</v>
      </c>
      <c r="Y35" s="224"/>
      <c r="Z35" s="224"/>
      <c r="AA35" s="224"/>
      <c r="AB35" s="224"/>
      <c r="AC35" s="224"/>
      <c r="AD35" s="224"/>
      <c r="AE35" s="224"/>
      <c r="AF35" s="224"/>
      <c r="AG35" s="224">
        <v>0</v>
      </c>
      <c r="AH35" s="224"/>
      <c r="AI35" s="224"/>
      <c r="AJ35" s="273"/>
      <c r="AK35" s="273">
        <f>'(D) Tuition Fee Revenue'!N36+'(E) Tuit Fee Discounts'!L35</f>
        <v>0</v>
      </c>
      <c r="AL35" s="273"/>
      <c r="AM35" s="224"/>
      <c r="AN35" s="367">
        <f>SUM(L35:AK35)+F35</f>
        <v>0</v>
      </c>
      <c r="AO35" s="224"/>
      <c r="AP35" s="384"/>
      <c r="AQ35" s="224">
        <f t="shared" si="6"/>
        <v>884735</v>
      </c>
      <c r="AR35" s="385"/>
      <c r="AS35" s="224"/>
      <c r="AT35" s="390">
        <v>0</v>
      </c>
      <c r="AU35" s="391"/>
      <c r="AV35" s="365"/>
      <c r="AW35" s="393">
        <f t="shared" si="7"/>
        <v>884735</v>
      </c>
      <c r="AX35" s="394"/>
      <c r="AZ35" s="130"/>
      <c r="BB35" s="383"/>
    </row>
    <row r="36" spans="1:54" s="350" customFormat="1" ht="12.75" customHeight="1">
      <c r="A36" s="228" t="s">
        <v>24</v>
      </c>
      <c r="B36" s="384"/>
      <c r="C36" s="224">
        <f>'(A) Budget Summary'!C37</f>
        <v>2536619</v>
      </c>
      <c r="D36" s="385"/>
      <c r="E36" s="228"/>
      <c r="F36" s="227">
        <v>0</v>
      </c>
      <c r="G36" s="227"/>
      <c r="H36" s="228"/>
      <c r="I36" s="387">
        <f t="shared" si="5"/>
        <v>2536619</v>
      </c>
      <c r="J36" s="388"/>
      <c r="K36" s="228"/>
      <c r="L36" s="224">
        <v>0</v>
      </c>
      <c r="M36" s="223"/>
      <c r="N36" s="223"/>
      <c r="O36" s="223"/>
      <c r="P36" s="224">
        <v>0</v>
      </c>
      <c r="Q36" s="223"/>
      <c r="R36" s="223"/>
      <c r="S36" s="223"/>
      <c r="T36" s="224">
        <v>0</v>
      </c>
      <c r="U36" s="223"/>
      <c r="V36" s="223"/>
      <c r="W36" s="228"/>
      <c r="X36" s="224">
        <v>0</v>
      </c>
      <c r="Y36" s="224"/>
      <c r="Z36" s="224"/>
      <c r="AA36" s="224"/>
      <c r="AB36" s="224"/>
      <c r="AC36" s="224"/>
      <c r="AD36" s="224"/>
      <c r="AE36" s="224"/>
      <c r="AF36" s="224"/>
      <c r="AG36" s="224">
        <v>0</v>
      </c>
      <c r="AH36" s="224"/>
      <c r="AI36" s="224"/>
      <c r="AJ36" s="273"/>
      <c r="AK36" s="273">
        <f>'(D) Tuition Fee Revenue'!N37+'(E) Tuit Fee Discounts'!L36</f>
        <v>0</v>
      </c>
      <c r="AL36" s="273"/>
      <c r="AM36" s="224"/>
      <c r="AN36" s="367">
        <f>SUM(L36:AK36)+F36</f>
        <v>0</v>
      </c>
      <c r="AO36" s="224"/>
      <c r="AP36" s="384"/>
      <c r="AQ36" s="224">
        <f t="shared" si="6"/>
        <v>2536619</v>
      </c>
      <c r="AR36" s="385"/>
      <c r="AS36" s="224"/>
      <c r="AT36" s="390">
        <v>0</v>
      </c>
      <c r="AU36" s="391"/>
      <c r="AV36" s="365"/>
      <c r="AW36" s="393">
        <f t="shared" si="7"/>
        <v>2536619</v>
      </c>
      <c r="AX36" s="394"/>
      <c r="AZ36" s="130"/>
      <c r="BB36" s="383"/>
    </row>
    <row r="37" spans="1:54" s="350" customFormat="1" ht="12.75" customHeight="1">
      <c r="A37" s="228" t="s">
        <v>25</v>
      </c>
      <c r="B37" s="384"/>
      <c r="C37" s="224">
        <f>'(A) Budget Summary'!C38</f>
        <v>11800</v>
      </c>
      <c r="D37" s="385"/>
      <c r="E37" s="228"/>
      <c r="F37" s="227">
        <v>0</v>
      </c>
      <c r="G37" s="227"/>
      <c r="H37" s="228"/>
      <c r="I37" s="387">
        <f t="shared" si="5"/>
        <v>11800</v>
      </c>
      <c r="J37" s="388"/>
      <c r="K37" s="228"/>
      <c r="L37" s="224">
        <v>0</v>
      </c>
      <c r="M37" s="223"/>
      <c r="N37" s="223"/>
      <c r="O37" s="223"/>
      <c r="P37" s="224">
        <v>0</v>
      </c>
      <c r="Q37" s="223"/>
      <c r="R37" s="223"/>
      <c r="S37" s="223"/>
      <c r="T37" s="224">
        <v>0</v>
      </c>
      <c r="U37" s="223"/>
      <c r="V37" s="223"/>
      <c r="W37" s="228"/>
      <c r="X37" s="224">
        <v>0</v>
      </c>
      <c r="Y37" s="224"/>
      <c r="Z37" s="224"/>
      <c r="AA37" s="224"/>
      <c r="AB37" s="224"/>
      <c r="AC37" s="224"/>
      <c r="AD37" s="224"/>
      <c r="AE37" s="224"/>
      <c r="AF37" s="224"/>
      <c r="AG37" s="224">
        <v>0</v>
      </c>
      <c r="AH37" s="224"/>
      <c r="AI37" s="224"/>
      <c r="AJ37" s="273"/>
      <c r="AK37" s="273">
        <f>'(D) Tuition Fee Revenue'!N38+'(E) Tuit Fee Discounts'!L37</f>
        <v>0</v>
      </c>
      <c r="AL37" s="273"/>
      <c r="AM37" s="224"/>
      <c r="AN37" s="367">
        <f>SUM(L37:AK37)+F37</f>
        <v>0</v>
      </c>
      <c r="AO37" s="224"/>
      <c r="AP37" s="384"/>
      <c r="AQ37" s="224">
        <f t="shared" si="6"/>
        <v>11800</v>
      </c>
      <c r="AR37" s="385"/>
      <c r="AS37" s="224"/>
      <c r="AT37" s="390">
        <v>0</v>
      </c>
      <c r="AU37" s="391"/>
      <c r="AV37" s="365"/>
      <c r="AW37" s="393">
        <f t="shared" si="7"/>
        <v>11800</v>
      </c>
      <c r="AX37" s="394"/>
      <c r="AZ37" s="130"/>
      <c r="BB37" s="383"/>
    </row>
    <row r="38" spans="1:54" s="350" customFormat="1" ht="12.75" customHeight="1">
      <c r="A38" s="228" t="s">
        <v>26</v>
      </c>
      <c r="B38" s="384"/>
      <c r="C38" s="224">
        <f>'(A) Budget Summary'!C39</f>
        <v>161247413</v>
      </c>
      <c r="D38" s="385"/>
      <c r="E38" s="227"/>
      <c r="F38" s="227">
        <v>1027400</v>
      </c>
      <c r="G38" s="386"/>
      <c r="H38" s="227"/>
      <c r="I38" s="387">
        <f t="shared" si="5"/>
        <v>162274813</v>
      </c>
      <c r="J38" s="388"/>
      <c r="K38" s="227"/>
      <c r="L38" s="224">
        <f>-1298500</f>
        <v>-1298500</v>
      </c>
      <c r="M38" s="223"/>
      <c r="N38" s="223"/>
      <c r="O38" s="223"/>
      <c r="P38" s="224">
        <f>-38000000</f>
        <v>-38000000</v>
      </c>
      <c r="Q38" s="223"/>
      <c r="R38" s="223"/>
      <c r="S38" s="223"/>
      <c r="T38" s="224">
        <f>-2149400</f>
        <v>-2149400</v>
      </c>
      <c r="U38" s="223"/>
      <c r="V38" s="223"/>
      <c r="W38" s="227"/>
      <c r="X38" s="224">
        <f>-10000000-7084200-115800</f>
        <v>-17200000</v>
      </c>
      <c r="Y38" s="224"/>
      <c r="Z38" s="224"/>
      <c r="AA38" s="224">
        <f>-AA32</f>
        <v>-5755000</v>
      </c>
      <c r="AB38" s="403"/>
      <c r="AC38" s="41"/>
      <c r="AD38" s="224">
        <f>-58162-12000-1000000-339412-308205-129082-179011-6706-100000-210584-215375</f>
        <v>-2558537</v>
      </c>
      <c r="AE38" s="403"/>
      <c r="AF38" s="404"/>
      <c r="AG38" s="224">
        <v>0</v>
      </c>
      <c r="AH38" s="224"/>
      <c r="AI38" s="224"/>
      <c r="AJ38" s="273"/>
      <c r="AK38" s="273">
        <f>'(D) Tuition Fee Revenue'!N39+'(E) Tuit Fee Discounts'!L38</f>
        <v>0</v>
      </c>
      <c r="AL38" s="273"/>
      <c r="AM38" s="224"/>
      <c r="AN38" s="367">
        <f>SUM(L38:AK38)+F38-AE38</f>
        <v>-65934037</v>
      </c>
      <c r="AO38" s="224"/>
      <c r="AP38" s="384"/>
      <c r="AQ38" s="224">
        <f t="shared" si="6"/>
        <v>95313376</v>
      </c>
      <c r="AR38" s="385"/>
      <c r="AS38" s="224"/>
      <c r="AT38" s="390">
        <f>24535000</f>
        <v>24535000</v>
      </c>
      <c r="AU38" s="391"/>
      <c r="AV38" s="365"/>
      <c r="AW38" s="393">
        <f t="shared" si="7"/>
        <v>119848376</v>
      </c>
      <c r="AX38" s="394"/>
      <c r="AZ38" s="130"/>
      <c r="BB38" s="383"/>
    </row>
    <row r="39" spans="1:54" s="350" customFormat="1" ht="12.75" customHeight="1">
      <c r="A39" s="41" t="s">
        <v>124</v>
      </c>
      <c r="B39" s="384"/>
      <c r="C39" s="224">
        <f>'(A) Budget Summary'!C40</f>
        <v>90536000</v>
      </c>
      <c r="D39" s="385"/>
      <c r="E39" s="227"/>
      <c r="F39" s="227">
        <v>0</v>
      </c>
      <c r="G39" s="227"/>
      <c r="H39" s="227"/>
      <c r="I39" s="387">
        <f t="shared" si="5"/>
        <v>90536000</v>
      </c>
      <c r="J39" s="388"/>
      <c r="K39" s="227"/>
      <c r="L39" s="224">
        <v>0</v>
      </c>
      <c r="M39" s="223"/>
      <c r="N39" s="223"/>
      <c r="O39" s="223"/>
      <c r="P39" s="224">
        <v>0</v>
      </c>
      <c r="Q39" s="223"/>
      <c r="R39" s="223"/>
      <c r="S39" s="223"/>
      <c r="T39" s="224">
        <v>0</v>
      </c>
      <c r="U39" s="223"/>
      <c r="V39" s="223"/>
      <c r="W39" s="227"/>
      <c r="X39" s="224">
        <v>0</v>
      </c>
      <c r="Y39" s="224"/>
      <c r="Z39" s="224"/>
      <c r="AA39" s="224"/>
      <c r="AB39" s="403"/>
      <c r="AC39" s="41"/>
      <c r="AD39" s="224">
        <f>197237000+99079000-90536000</f>
        <v>205780000</v>
      </c>
      <c r="AE39" s="403">
        <v>4</v>
      </c>
      <c r="AF39" s="404"/>
      <c r="AG39" s="224">
        <v>0</v>
      </c>
      <c r="AH39" s="224"/>
      <c r="AI39" s="224"/>
      <c r="AJ39" s="273"/>
      <c r="AK39" s="273">
        <f>'(D) Tuition Fee Revenue'!N40+'(E) Tuit Fee Discounts'!L39</f>
        <v>0</v>
      </c>
      <c r="AL39" s="273"/>
      <c r="AM39" s="224"/>
      <c r="AN39" s="367">
        <f>SUM(L39:AK39)+F39-AE39</f>
        <v>205780000</v>
      </c>
      <c r="AO39" s="224"/>
      <c r="AP39" s="384"/>
      <c r="AQ39" s="224">
        <f t="shared" si="6"/>
        <v>296316000</v>
      </c>
      <c r="AR39" s="385"/>
      <c r="AS39" s="224"/>
      <c r="AT39" s="390">
        <v>0</v>
      </c>
      <c r="AU39" s="391"/>
      <c r="AV39" s="365"/>
      <c r="AW39" s="393">
        <f t="shared" si="7"/>
        <v>296316000</v>
      </c>
      <c r="AX39" s="394"/>
      <c r="AZ39" s="130"/>
      <c r="BB39" s="383"/>
    </row>
    <row r="40" spans="1:54" s="350" customFormat="1" ht="6" customHeight="1">
      <c r="A40" s="228"/>
      <c r="B40" s="384"/>
      <c r="C40" s="224"/>
      <c r="D40" s="385"/>
      <c r="E40" s="228"/>
      <c r="F40" s="228"/>
      <c r="G40" s="228"/>
      <c r="H40" s="228"/>
      <c r="I40" s="367"/>
      <c r="J40" s="224"/>
      <c r="K40" s="228"/>
      <c r="L40" s="223"/>
      <c r="M40" s="223"/>
      <c r="N40" s="223"/>
      <c r="O40" s="223"/>
      <c r="P40" s="223"/>
      <c r="Q40" s="223"/>
      <c r="R40" s="223"/>
      <c r="S40" s="223"/>
      <c r="T40" s="223"/>
      <c r="U40" s="223"/>
      <c r="V40" s="223"/>
      <c r="W40" s="228"/>
      <c r="X40" s="224"/>
      <c r="Y40" s="224"/>
      <c r="Z40" s="224"/>
      <c r="AA40" s="224"/>
      <c r="AB40" s="224"/>
      <c r="AC40" s="224"/>
      <c r="AD40" s="224"/>
      <c r="AE40" s="224"/>
      <c r="AF40" s="224"/>
      <c r="AG40" s="224"/>
      <c r="AH40" s="224"/>
      <c r="AI40" s="224"/>
      <c r="AJ40" s="273"/>
      <c r="AK40" s="273"/>
      <c r="AL40" s="273"/>
      <c r="AM40" s="224"/>
      <c r="AN40" s="367"/>
      <c r="AO40" s="224"/>
      <c r="AP40" s="384"/>
      <c r="AQ40" s="224"/>
      <c r="AR40" s="385"/>
      <c r="AS40" s="224"/>
      <c r="AT40" s="405"/>
      <c r="AU40" s="130"/>
      <c r="AV40" s="365"/>
      <c r="AW40" s="130"/>
      <c r="AX40" s="394"/>
      <c r="AZ40" s="130"/>
      <c r="BB40" s="383"/>
    </row>
    <row r="41" spans="1:52" s="383" customFormat="1" ht="15.75" customHeight="1" thickBot="1">
      <c r="A41" s="231" t="s">
        <v>27</v>
      </c>
      <c r="B41" s="406"/>
      <c r="C41" s="231">
        <f>SUM(C32:C39)</f>
        <v>2330500000.16</v>
      </c>
      <c r="D41" s="407"/>
      <c r="E41" s="231"/>
      <c r="F41" s="231">
        <f>SUM(F32:F39)</f>
        <v>15632000</v>
      </c>
      <c r="G41" s="231"/>
      <c r="H41" s="231"/>
      <c r="I41" s="408">
        <f>SUM(I32:I39)</f>
        <v>2346132000.16</v>
      </c>
      <c r="J41" s="231"/>
      <c r="K41" s="231"/>
      <c r="L41" s="122">
        <f>SUM(L32:L38)</f>
        <v>0</v>
      </c>
      <c r="M41" s="122"/>
      <c r="N41" s="122"/>
      <c r="O41" s="122"/>
      <c r="P41" s="122">
        <f>SUM(P32:P38)</f>
        <v>0</v>
      </c>
      <c r="Q41" s="122"/>
      <c r="R41" s="122"/>
      <c r="S41" s="122"/>
      <c r="T41" s="122">
        <f>SUM(T32:T38)</f>
        <v>0</v>
      </c>
      <c r="U41" s="122"/>
      <c r="V41" s="122"/>
      <c r="W41" s="231"/>
      <c r="X41" s="231">
        <f>SUM(X32:X39)</f>
        <v>0</v>
      </c>
      <c r="Y41" s="231"/>
      <c r="Z41" s="231"/>
      <c r="AA41" s="231">
        <f>SUM(AA32:AA39)</f>
        <v>0</v>
      </c>
      <c r="AB41" s="231"/>
      <c r="AC41" s="231"/>
      <c r="AD41" s="231">
        <f>SUM(AD32:AD39)</f>
        <v>205780000</v>
      </c>
      <c r="AE41" s="231"/>
      <c r="AF41" s="231"/>
      <c r="AG41" s="231">
        <f>SUM(AG32:AG39)</f>
        <v>1179000</v>
      </c>
      <c r="AH41" s="231"/>
      <c r="AI41" s="231"/>
      <c r="AJ41" s="279"/>
      <c r="AK41" s="280">
        <f>SUM(AK32:AK38)</f>
        <v>0</v>
      </c>
      <c r="AL41" s="279"/>
      <c r="AM41" s="231"/>
      <c r="AN41" s="408">
        <f>SUM(AN32:AN39)</f>
        <v>222591000</v>
      </c>
      <c r="AO41" s="231"/>
      <c r="AP41" s="406"/>
      <c r="AQ41" s="231">
        <f>SUM(AQ32:AQ39)</f>
        <v>2553091000.16</v>
      </c>
      <c r="AR41" s="407"/>
      <c r="AS41" s="226"/>
      <c r="AT41" s="409">
        <f>SUM(AT32:AT39)</f>
        <v>0</v>
      </c>
      <c r="AU41" s="130"/>
      <c r="AV41" s="410"/>
      <c r="AW41" s="169">
        <f>SUM(AW32:AW39)</f>
        <v>2553091000.16</v>
      </c>
      <c r="AX41" s="411"/>
      <c r="AZ41" s="159"/>
    </row>
    <row r="42" spans="39:50" ht="12.75">
      <c r="AM42" s="412"/>
      <c r="AN42" s="412"/>
      <c r="AO42" s="412"/>
      <c r="AP42" s="412"/>
      <c r="AQ42" s="412"/>
      <c r="AV42" s="130"/>
      <c r="AW42" s="130"/>
      <c r="AX42" s="130"/>
    </row>
    <row r="43" spans="1:50" ht="30" customHeight="1">
      <c r="A43" s="449" t="s">
        <v>159</v>
      </c>
      <c r="B43" s="449"/>
      <c r="C43" s="449"/>
      <c r="D43" s="449"/>
      <c r="E43" s="449"/>
      <c r="F43" s="449"/>
      <c r="G43" s="449"/>
      <c r="H43" s="449"/>
      <c r="I43" s="449"/>
      <c r="J43" s="449"/>
      <c r="K43" s="449"/>
      <c r="L43" s="449"/>
      <c r="M43" s="449"/>
      <c r="N43" s="449"/>
      <c r="O43" s="449"/>
      <c r="P43" s="449"/>
      <c r="Q43" s="449"/>
      <c r="R43" s="449"/>
      <c r="S43" s="449"/>
      <c r="T43" s="449"/>
      <c r="U43" s="449"/>
      <c r="V43" s="449"/>
      <c r="W43" s="449"/>
      <c r="X43" s="449"/>
      <c r="Y43" s="449"/>
      <c r="Z43" s="449"/>
      <c r="AA43" s="449"/>
      <c r="AB43" s="449"/>
      <c r="AC43" s="449"/>
      <c r="AD43" s="449"/>
      <c r="AE43" s="449"/>
      <c r="AF43" s="449"/>
      <c r="AG43" s="449"/>
      <c r="AH43" s="449"/>
      <c r="AI43" s="449"/>
      <c r="AJ43" s="449"/>
      <c r="AK43" s="449"/>
      <c r="AL43" s="449"/>
      <c r="AM43" s="449"/>
      <c r="AN43" s="449"/>
      <c r="AO43" s="449"/>
      <c r="AP43" s="449"/>
      <c r="AQ43" s="449"/>
      <c r="AV43" s="130"/>
      <c r="AW43" s="130"/>
      <c r="AX43" s="130"/>
    </row>
    <row r="44" spans="1:43" ht="15.75">
      <c r="A44" s="41" t="s">
        <v>166</v>
      </c>
      <c r="B44" s="413"/>
      <c r="C44" s="413"/>
      <c r="D44" s="413"/>
      <c r="E44" s="413"/>
      <c r="F44" s="413"/>
      <c r="G44" s="413"/>
      <c r="H44" s="413"/>
      <c r="I44" s="413"/>
      <c r="J44" s="413"/>
      <c r="K44" s="413"/>
      <c r="L44" s="413"/>
      <c r="M44" s="413"/>
      <c r="N44" s="413"/>
      <c r="O44" s="413"/>
      <c r="P44" s="413"/>
      <c r="Q44" s="413"/>
      <c r="R44" s="413"/>
      <c r="S44" s="413"/>
      <c r="T44" s="413"/>
      <c r="U44" s="413"/>
      <c r="V44" s="413"/>
      <c r="W44" s="413"/>
      <c r="X44" s="413"/>
      <c r="Y44" s="413"/>
      <c r="Z44" s="413"/>
      <c r="AA44" s="413"/>
      <c r="AB44" s="413"/>
      <c r="AC44" s="413"/>
      <c r="AD44" s="413"/>
      <c r="AE44" s="413"/>
      <c r="AF44" s="413"/>
      <c r="AG44" s="413"/>
      <c r="AH44" s="413"/>
      <c r="AI44" s="413"/>
      <c r="AJ44" s="413"/>
      <c r="AK44" s="413"/>
      <c r="AL44" s="413"/>
      <c r="AM44" s="413"/>
      <c r="AN44" s="413"/>
      <c r="AO44" s="413"/>
      <c r="AP44" s="413"/>
      <c r="AQ44" s="413"/>
    </row>
    <row r="45" spans="1:43" ht="15.75">
      <c r="A45" s="41" t="s">
        <v>160</v>
      </c>
      <c r="AJ45" s="343"/>
      <c r="AK45" s="343"/>
      <c r="AL45" s="343"/>
      <c r="AM45" s="412"/>
      <c r="AN45" s="412"/>
      <c r="AO45" s="412"/>
      <c r="AP45" s="412"/>
      <c r="AQ45" s="224"/>
    </row>
    <row r="46" spans="1:52" s="171" customFormat="1" ht="15" customHeight="1">
      <c r="A46" s="437" t="s">
        <v>128</v>
      </c>
      <c r="B46" s="437"/>
      <c r="C46" s="437"/>
      <c r="D46" s="437"/>
      <c r="E46" s="437"/>
      <c r="F46" s="437"/>
      <c r="G46" s="437"/>
      <c r="H46" s="437"/>
      <c r="I46" s="437"/>
      <c r="J46" s="437"/>
      <c r="K46" s="437"/>
      <c r="L46" s="437"/>
      <c r="M46" s="437"/>
      <c r="N46" s="437"/>
      <c r="O46" s="437"/>
      <c r="P46" s="437"/>
      <c r="Q46" s="437"/>
      <c r="R46" s="437"/>
      <c r="S46" s="437"/>
      <c r="T46" s="437"/>
      <c r="U46" s="437"/>
      <c r="V46" s="437"/>
      <c r="W46" s="437"/>
      <c r="X46" s="437"/>
      <c r="Y46" s="437"/>
      <c r="Z46" s="437"/>
      <c r="AA46" s="437"/>
      <c r="AB46" s="437"/>
      <c r="AC46" s="437"/>
      <c r="AD46" s="437"/>
      <c r="AE46" s="437"/>
      <c r="AF46" s="437"/>
      <c r="AG46" s="437"/>
      <c r="AH46" s="437"/>
      <c r="AI46" s="437"/>
      <c r="AJ46" s="437"/>
      <c r="AK46" s="437"/>
      <c r="AL46" s="437"/>
      <c r="AM46" s="437"/>
      <c r="AN46" s="437"/>
      <c r="AO46" s="437"/>
      <c r="AP46" s="437"/>
      <c r="AQ46" s="437"/>
      <c r="AT46" s="414"/>
      <c r="AU46" s="414"/>
      <c r="AV46" s="414"/>
      <c r="AW46" s="414"/>
      <c r="AZ46" s="172"/>
    </row>
    <row r="47" spans="1:52" s="171" customFormat="1" ht="15" customHeight="1">
      <c r="A47" s="205" t="s">
        <v>129</v>
      </c>
      <c r="B47" s="343"/>
      <c r="C47" s="343"/>
      <c r="D47" s="343"/>
      <c r="E47" s="343"/>
      <c r="F47" s="343"/>
      <c r="G47" s="343"/>
      <c r="H47" s="343"/>
      <c r="I47" s="343"/>
      <c r="J47" s="343"/>
      <c r="K47" s="343"/>
      <c r="L47" s="343"/>
      <c r="M47" s="343"/>
      <c r="N47" s="343"/>
      <c r="O47" s="343"/>
      <c r="P47" s="343"/>
      <c r="Q47" s="343"/>
      <c r="R47" s="343"/>
      <c r="S47" s="343"/>
      <c r="T47" s="343"/>
      <c r="U47" s="343"/>
      <c r="V47" s="343"/>
      <c r="W47" s="343"/>
      <c r="X47" s="343"/>
      <c r="Y47" s="343"/>
      <c r="Z47" s="343"/>
      <c r="AA47" s="343"/>
      <c r="AB47" s="343"/>
      <c r="AC47" s="343"/>
      <c r="AD47" s="343"/>
      <c r="AE47" s="343"/>
      <c r="AF47" s="343"/>
      <c r="AG47" s="343"/>
      <c r="AH47" s="343"/>
      <c r="AI47" s="343"/>
      <c r="AJ47" s="228"/>
      <c r="AK47" s="228"/>
      <c r="AL47" s="228"/>
      <c r="AM47" s="343"/>
      <c r="AN47" s="343"/>
      <c r="AO47" s="343"/>
      <c r="AP47" s="343"/>
      <c r="AQ47" s="281"/>
      <c r="AZ47" s="172"/>
    </row>
    <row r="48" spans="1:43" ht="15" customHeight="1">
      <c r="A48" s="437" t="s">
        <v>161</v>
      </c>
      <c r="B48" s="437"/>
      <c r="C48" s="437"/>
      <c r="D48" s="437"/>
      <c r="E48" s="437"/>
      <c r="F48" s="437"/>
      <c r="G48" s="437"/>
      <c r="H48" s="437"/>
      <c r="I48" s="437"/>
      <c r="J48" s="437"/>
      <c r="K48" s="437"/>
      <c r="L48" s="437"/>
      <c r="M48" s="437"/>
      <c r="N48" s="437"/>
      <c r="O48" s="437"/>
      <c r="P48" s="437"/>
      <c r="Q48" s="437"/>
      <c r="R48" s="437"/>
      <c r="S48" s="437"/>
      <c r="T48" s="437"/>
      <c r="U48" s="437"/>
      <c r="V48" s="437"/>
      <c r="W48" s="437"/>
      <c r="X48" s="437"/>
      <c r="Y48" s="437"/>
      <c r="Z48" s="437"/>
      <c r="AA48" s="437"/>
      <c r="AB48" s="437"/>
      <c r="AC48" s="437"/>
      <c r="AD48" s="437"/>
      <c r="AE48" s="437"/>
      <c r="AF48" s="437"/>
      <c r="AG48" s="437"/>
      <c r="AH48" s="437"/>
      <c r="AI48" s="437"/>
      <c r="AJ48" s="437"/>
      <c r="AK48" s="437"/>
      <c r="AL48" s="437"/>
      <c r="AM48" s="437"/>
      <c r="AN48" s="437"/>
      <c r="AO48" s="437"/>
      <c r="AP48" s="437"/>
      <c r="AQ48" s="437"/>
    </row>
    <row r="49" spans="1:43" ht="15" customHeight="1">
      <c r="A49" s="437" t="s">
        <v>175</v>
      </c>
      <c r="B49" s="437"/>
      <c r="C49" s="437"/>
      <c r="D49" s="437"/>
      <c r="E49" s="437"/>
      <c r="F49" s="437"/>
      <c r="G49" s="437"/>
      <c r="H49" s="437"/>
      <c r="I49" s="437"/>
      <c r="J49" s="437"/>
      <c r="K49" s="437"/>
      <c r="L49" s="437"/>
      <c r="M49" s="437"/>
      <c r="N49" s="437"/>
      <c r="O49" s="437"/>
      <c r="P49" s="437"/>
      <c r="Q49" s="437"/>
      <c r="R49" s="437"/>
      <c r="S49" s="437"/>
      <c r="T49" s="437"/>
      <c r="U49" s="437"/>
      <c r="V49" s="437"/>
      <c r="W49" s="437"/>
      <c r="X49" s="437"/>
      <c r="Y49" s="437"/>
      <c r="Z49" s="437"/>
      <c r="AA49" s="437"/>
      <c r="AB49" s="437"/>
      <c r="AC49" s="437"/>
      <c r="AD49" s="437"/>
      <c r="AE49" s="437"/>
      <c r="AF49" s="437"/>
      <c r="AG49" s="437"/>
      <c r="AH49" s="437"/>
      <c r="AI49" s="437"/>
      <c r="AJ49" s="437"/>
      <c r="AK49" s="437"/>
      <c r="AL49" s="437"/>
      <c r="AM49" s="437"/>
      <c r="AN49" s="437"/>
      <c r="AO49" s="437"/>
      <c r="AP49" s="437"/>
      <c r="AQ49" s="437"/>
    </row>
  </sheetData>
  <sheetProtection/>
  <mergeCells count="14">
    <mergeCell ref="A49:AQ49"/>
    <mergeCell ref="AV5:AX5"/>
    <mergeCell ref="A48:AQ48"/>
    <mergeCell ref="AJ6:AL6"/>
    <mergeCell ref="W5:Y5"/>
    <mergeCell ref="AF5:AH5"/>
    <mergeCell ref="K5:M5"/>
    <mergeCell ref="AP5:AR5"/>
    <mergeCell ref="B5:D5"/>
    <mergeCell ref="AJ5:AL5"/>
    <mergeCell ref="A43:AQ43"/>
    <mergeCell ref="S5:U5"/>
    <mergeCell ref="O5:Q5"/>
    <mergeCell ref="A46:AQ46"/>
  </mergeCells>
  <printOptions horizontalCentered="1"/>
  <pageMargins left="0.25" right="0.25" top="0.5" bottom="0.25" header="0.5" footer="0.5"/>
  <pageSetup fitToHeight="1" fitToWidth="1" horizontalDpi="600" verticalDpi="600" orientation="landscape" paperSize="5" scale="65" r:id="rId1"/>
</worksheet>
</file>

<file path=xl/worksheets/sheet3.xml><?xml version="1.0" encoding="utf-8"?>
<worksheet xmlns="http://schemas.openxmlformats.org/spreadsheetml/2006/main" xmlns:r="http://schemas.openxmlformats.org/officeDocument/2006/relationships">
  <sheetPr>
    <pageSetUpPr fitToPage="1"/>
  </sheetPr>
  <dimension ref="A1:S69"/>
  <sheetViews>
    <sheetView zoomScalePageLayoutView="0" workbookViewId="0" topLeftCell="A1">
      <selection activeCell="A45" sqref="A45:IV45"/>
    </sheetView>
  </sheetViews>
  <sheetFormatPr defaultColWidth="10.83203125" defaultRowHeight="12.75"/>
  <cols>
    <col min="1" max="1" width="25.83203125" style="66" customWidth="1"/>
    <col min="2" max="2" width="17.83203125" style="66" customWidth="1"/>
    <col min="3" max="3" width="2.83203125" style="67" customWidth="1"/>
    <col min="4" max="4" width="13.83203125" style="67" customWidth="1"/>
    <col min="5" max="5" width="2.83203125" style="67" customWidth="1"/>
    <col min="6" max="6" width="7.83203125" style="67" customWidth="1"/>
    <col min="7" max="7" width="14.83203125" style="67" customWidth="1"/>
    <col min="8" max="8" width="7.66015625" style="67" customWidth="1"/>
    <col min="9" max="9" width="2.83203125" style="67" customWidth="1"/>
    <col min="10" max="10" width="1.83203125" style="67" bestFit="1" customWidth="1"/>
    <col min="11" max="11" width="13.66015625" style="67" bestFit="1" customWidth="1"/>
    <col min="12" max="13" width="2.83203125" style="67" customWidth="1"/>
    <col min="14" max="14" width="13.83203125" style="67" customWidth="1"/>
    <col min="15" max="15" width="2.83203125" style="67" customWidth="1"/>
    <col min="16" max="16" width="15.83203125" style="66" customWidth="1"/>
    <col min="17" max="17" width="2.83203125" style="66" customWidth="1"/>
    <col min="18" max="18" width="12.5" style="68" bestFit="1" customWidth="1"/>
    <col min="19" max="19" width="6.83203125" style="66" customWidth="1"/>
    <col min="20" max="20" width="11.83203125" style="66" bestFit="1" customWidth="1"/>
    <col min="21" max="16384" width="10.83203125" style="66" customWidth="1"/>
  </cols>
  <sheetData>
    <row r="1" spans="1:17" ht="24" customHeight="1">
      <c r="A1" s="325" t="s">
        <v>164</v>
      </c>
      <c r="B1" s="325"/>
      <c r="C1" s="326"/>
      <c r="D1" s="326"/>
      <c r="E1" s="326"/>
      <c r="F1" s="326"/>
      <c r="G1" s="326"/>
      <c r="H1" s="326"/>
      <c r="I1" s="326"/>
      <c r="J1" s="326"/>
      <c r="K1" s="326"/>
      <c r="L1" s="326"/>
      <c r="M1" s="326"/>
      <c r="N1" s="326"/>
      <c r="O1" s="326"/>
      <c r="P1" s="327"/>
      <c r="Q1" s="327"/>
    </row>
    <row r="2" spans="1:17" ht="12.75" customHeight="1">
      <c r="A2" s="325"/>
      <c r="B2" s="325"/>
      <c r="C2" s="326"/>
      <c r="D2" s="326"/>
      <c r="E2" s="326"/>
      <c r="F2" s="326"/>
      <c r="G2" s="326"/>
      <c r="H2" s="326"/>
      <c r="I2" s="326"/>
      <c r="J2" s="326"/>
      <c r="K2" s="326"/>
      <c r="L2" s="326"/>
      <c r="M2" s="326"/>
      <c r="N2" s="326"/>
      <c r="O2" s="326"/>
      <c r="P2" s="327"/>
      <c r="Q2" s="327"/>
    </row>
    <row r="3" spans="1:18" ht="15.75">
      <c r="A3" s="287"/>
      <c r="B3" s="415">
        <v>-1</v>
      </c>
      <c r="D3" s="285">
        <v>-2</v>
      </c>
      <c r="E3" s="285"/>
      <c r="G3" s="415">
        <v>-3</v>
      </c>
      <c r="H3" s="415"/>
      <c r="I3" s="415"/>
      <c r="K3" s="285">
        <v>-4</v>
      </c>
      <c r="L3" s="285"/>
      <c r="N3" s="353">
        <v>-5</v>
      </c>
      <c r="O3" s="353"/>
      <c r="P3" s="353">
        <v>-6</v>
      </c>
      <c r="Q3" s="187"/>
      <c r="R3" s="286">
        <f>-(7)</f>
        <v>-7</v>
      </c>
    </row>
    <row r="4" spans="1:18" s="335" customFormat="1" ht="39" customHeight="1">
      <c r="A4" s="332"/>
      <c r="B4" s="344" t="s">
        <v>152</v>
      </c>
      <c r="C4" s="332"/>
      <c r="D4" s="344" t="s">
        <v>110</v>
      </c>
      <c r="E4" s="333"/>
      <c r="F4" s="450" t="s">
        <v>151</v>
      </c>
      <c r="G4" s="450"/>
      <c r="H4" s="450"/>
      <c r="I4" s="331">
        <v>1</v>
      </c>
      <c r="K4" s="344" t="s">
        <v>149</v>
      </c>
      <c r="L4" s="337">
        <v>2</v>
      </c>
      <c r="N4" s="344" t="s">
        <v>115</v>
      </c>
      <c r="O4" s="333"/>
      <c r="P4" s="344" t="s">
        <v>142</v>
      </c>
      <c r="Q4" s="334"/>
      <c r="R4" s="336" t="s">
        <v>148</v>
      </c>
    </row>
    <row r="5" spans="2:18" s="70" customFormat="1" ht="22.5">
      <c r="B5" s="330" t="s">
        <v>173</v>
      </c>
      <c r="C5" s="100"/>
      <c r="D5" s="100"/>
      <c r="E5" s="100"/>
      <c r="F5" s="100"/>
      <c r="G5" s="100"/>
      <c r="H5" s="100"/>
      <c r="I5" s="100"/>
      <c r="J5" s="100"/>
      <c r="K5" s="338" t="s">
        <v>118</v>
      </c>
      <c r="L5" s="338"/>
      <c r="M5" s="100"/>
      <c r="N5" s="100"/>
      <c r="O5" s="100"/>
      <c r="P5" s="330" t="s">
        <v>174</v>
      </c>
      <c r="Q5" s="330"/>
      <c r="R5" s="330" t="s">
        <v>146</v>
      </c>
    </row>
    <row r="6" spans="1:18" ht="12" customHeight="1">
      <c r="A6" s="69"/>
      <c r="B6" s="69"/>
      <c r="C6" s="90"/>
      <c r="D6" s="90"/>
      <c r="E6" s="90"/>
      <c r="F6" s="90"/>
      <c r="G6" s="90"/>
      <c r="H6" s="90"/>
      <c r="I6" s="90"/>
      <c r="J6" s="90"/>
      <c r="K6" s="90"/>
      <c r="L6" s="90"/>
      <c r="M6" s="90"/>
      <c r="N6" s="90"/>
      <c r="O6" s="90"/>
      <c r="P6" s="71"/>
      <c r="Q6" s="71"/>
      <c r="R6" s="71"/>
    </row>
    <row r="7" spans="1:18" s="72" customFormat="1" ht="12.75" customHeight="1">
      <c r="A7" s="76" t="s">
        <v>0</v>
      </c>
      <c r="B7" s="76">
        <f>ROUND(9737*'(D) Tuition Fee Revenue'!D9/1000,0)*1000</f>
        <v>1558000</v>
      </c>
      <c r="C7" s="91"/>
      <c r="D7" s="91">
        <v>253000</v>
      </c>
      <c r="E7" s="91"/>
      <c r="F7" s="91"/>
      <c r="G7" s="91">
        <v>196000</v>
      </c>
      <c r="H7" s="91"/>
      <c r="I7" s="91"/>
      <c r="J7" s="91"/>
      <c r="K7" s="416">
        <v>1796700</v>
      </c>
      <c r="L7" s="416"/>
      <c r="M7" s="91"/>
      <c r="N7" s="91"/>
      <c r="O7" s="91"/>
      <c r="P7" s="379">
        <f>-'(D) Tuition Fee Revenue'!Q9</f>
        <v>-772000</v>
      </c>
      <c r="Q7" s="381"/>
      <c r="R7" s="77">
        <f aca="true" t="shared" si="0" ref="R7:R29">B7+D7+G7+K7+N7+P7</f>
        <v>3031700</v>
      </c>
    </row>
    <row r="8" spans="1:19" ht="12.75" customHeight="1">
      <c r="A8" s="78" t="s">
        <v>1</v>
      </c>
      <c r="B8" s="78">
        <f>ROUND((9737)*'(D) Tuition Fee Revenue'!D10/1000,0)*1000</f>
        <v>5842000</v>
      </c>
      <c r="C8" s="91"/>
      <c r="D8" s="83">
        <v>246000</v>
      </c>
      <c r="E8" s="83"/>
      <c r="F8" s="83"/>
      <c r="G8" s="83">
        <v>0</v>
      </c>
      <c r="H8" s="83"/>
      <c r="I8" s="83"/>
      <c r="J8" s="83"/>
      <c r="K8" s="417">
        <v>1655300</v>
      </c>
      <c r="L8" s="417"/>
      <c r="M8" s="83"/>
      <c r="N8" s="83"/>
      <c r="O8" s="83"/>
      <c r="P8" s="391">
        <f>-'(D) Tuition Fee Revenue'!Q10</f>
        <v>-2839000</v>
      </c>
      <c r="Q8" s="393"/>
      <c r="R8" s="79">
        <f t="shared" si="0"/>
        <v>4904300</v>
      </c>
      <c r="S8" s="328"/>
    </row>
    <row r="9" spans="1:19" ht="12.75" customHeight="1">
      <c r="A9" s="78" t="s">
        <v>2</v>
      </c>
      <c r="B9" s="78">
        <f>ROUND((9737)*'(D) Tuition Fee Revenue'!D11/1000,0)*1000</f>
        <v>1947000</v>
      </c>
      <c r="C9" s="91"/>
      <c r="D9" s="83">
        <v>534000</v>
      </c>
      <c r="E9" s="83"/>
      <c r="F9" s="83"/>
      <c r="G9" s="83">
        <v>0</v>
      </c>
      <c r="H9" s="83"/>
      <c r="I9" s="83"/>
      <c r="J9" s="83"/>
      <c r="K9" s="417">
        <v>3506100</v>
      </c>
      <c r="L9" s="417"/>
      <c r="M9" s="83"/>
      <c r="N9" s="83"/>
      <c r="O9" s="83"/>
      <c r="P9" s="391">
        <f>-'(D) Tuition Fee Revenue'!Q11</f>
        <v>-904000</v>
      </c>
      <c r="Q9" s="393"/>
      <c r="R9" s="79">
        <f t="shared" si="0"/>
        <v>5083100</v>
      </c>
      <c r="S9" s="329"/>
    </row>
    <row r="10" spans="1:19" ht="12.75" customHeight="1">
      <c r="A10" s="78" t="s">
        <v>3</v>
      </c>
      <c r="B10" s="78">
        <f>ROUND((9737)*'(D) Tuition Fee Revenue'!D12/1000,0)*1000</f>
        <v>2921000</v>
      </c>
      <c r="C10" s="91"/>
      <c r="D10" s="83">
        <v>312000</v>
      </c>
      <c r="E10" s="83"/>
      <c r="F10" s="83"/>
      <c r="G10" s="83">
        <v>0</v>
      </c>
      <c r="H10" s="83"/>
      <c r="I10" s="83"/>
      <c r="J10" s="83"/>
      <c r="K10" s="417">
        <v>2440500</v>
      </c>
      <c r="L10" s="417"/>
      <c r="M10" s="83"/>
      <c r="N10" s="83"/>
      <c r="O10" s="83"/>
      <c r="P10" s="391">
        <f>-'(D) Tuition Fee Revenue'!Q12</f>
        <v>-1680000</v>
      </c>
      <c r="Q10" s="393"/>
      <c r="R10" s="79">
        <f t="shared" si="0"/>
        <v>3993500</v>
      </c>
      <c r="S10" s="329"/>
    </row>
    <row r="11" spans="1:19" ht="12.75" customHeight="1">
      <c r="A11" s="78" t="s">
        <v>28</v>
      </c>
      <c r="B11" s="78">
        <f>ROUND((9737)*'(D) Tuition Fee Revenue'!D13/1000,0)*1000</f>
        <v>3165000</v>
      </c>
      <c r="C11" s="91"/>
      <c r="D11" s="83">
        <v>408000</v>
      </c>
      <c r="E11" s="83"/>
      <c r="F11" s="83"/>
      <c r="G11" s="83">
        <v>0</v>
      </c>
      <c r="H11" s="83"/>
      <c r="I11" s="83"/>
      <c r="J11" s="83"/>
      <c r="K11" s="417">
        <v>3231700</v>
      </c>
      <c r="L11" s="417"/>
      <c r="M11" s="83"/>
      <c r="N11" s="83"/>
      <c r="O11" s="83"/>
      <c r="P11" s="391">
        <f>-'(D) Tuition Fee Revenue'!Q13</f>
        <v>-1635000</v>
      </c>
      <c r="Q11" s="393"/>
      <c r="R11" s="79">
        <f t="shared" si="0"/>
        <v>5169700</v>
      </c>
      <c r="S11" s="329"/>
    </row>
    <row r="12" spans="1:18" ht="12.75" customHeight="1">
      <c r="A12" s="78" t="s">
        <v>4</v>
      </c>
      <c r="B12" s="78">
        <f>ROUND((9737)*'(D) Tuition Fee Revenue'!D14/1000,0)*1000</f>
        <v>3895000</v>
      </c>
      <c r="C12" s="91"/>
      <c r="D12" s="83">
        <v>619000</v>
      </c>
      <c r="E12" s="83"/>
      <c r="F12" s="83"/>
      <c r="G12" s="83">
        <v>501000</v>
      </c>
      <c r="H12" s="83"/>
      <c r="I12" s="83"/>
      <c r="J12" s="83"/>
      <c r="K12" s="417">
        <v>4449100</v>
      </c>
      <c r="L12" s="417"/>
      <c r="M12" s="83"/>
      <c r="N12" s="83"/>
      <c r="O12" s="83"/>
      <c r="P12" s="391">
        <f>-'(D) Tuition Fee Revenue'!Q14</f>
        <v>-1945000</v>
      </c>
      <c r="Q12" s="393"/>
      <c r="R12" s="79">
        <f t="shared" si="0"/>
        <v>7519100</v>
      </c>
    </row>
    <row r="13" spans="1:18" ht="12.75" customHeight="1">
      <c r="A13" s="78" t="s">
        <v>5</v>
      </c>
      <c r="B13" s="78">
        <f>ROUND((9737)*'(D) Tuition Fee Revenue'!D15/1000,0)*1000</f>
        <v>6572000</v>
      </c>
      <c r="C13" s="91"/>
      <c r="D13" s="83">
        <v>872000</v>
      </c>
      <c r="E13" s="83"/>
      <c r="F13" s="83"/>
      <c r="G13" s="83">
        <v>2000</v>
      </c>
      <c r="H13" s="83"/>
      <c r="I13" s="83"/>
      <c r="J13" s="83"/>
      <c r="K13" s="417">
        <v>6624700</v>
      </c>
      <c r="L13" s="417"/>
      <c r="M13" s="83"/>
      <c r="N13" s="83"/>
      <c r="O13" s="83"/>
      <c r="P13" s="391">
        <f>-'(D) Tuition Fee Revenue'!Q15</f>
        <v>-3515000</v>
      </c>
      <c r="Q13" s="393"/>
      <c r="R13" s="79">
        <f t="shared" si="0"/>
        <v>10555700</v>
      </c>
    </row>
    <row r="14" spans="1:18" ht="12.75" customHeight="1">
      <c r="A14" s="78" t="s">
        <v>6</v>
      </c>
      <c r="B14" s="78">
        <f>ROUND((9737)*'(D) Tuition Fee Revenue'!D16/1000,0)*1000</f>
        <v>974000</v>
      </c>
      <c r="C14" s="91"/>
      <c r="D14" s="83">
        <v>335000</v>
      </c>
      <c r="E14" s="83"/>
      <c r="F14" s="83"/>
      <c r="G14" s="83">
        <v>0</v>
      </c>
      <c r="H14" s="83"/>
      <c r="I14" s="83"/>
      <c r="J14" s="83"/>
      <c r="K14" s="417">
        <v>2279000</v>
      </c>
      <c r="L14" s="417"/>
      <c r="M14" s="83"/>
      <c r="N14" s="83"/>
      <c r="O14" s="83"/>
      <c r="P14" s="391">
        <f>-'(D) Tuition Fee Revenue'!Q16</f>
        <v>-447000</v>
      </c>
      <c r="Q14" s="393"/>
      <c r="R14" s="79">
        <f t="shared" si="0"/>
        <v>3141000</v>
      </c>
    </row>
    <row r="15" spans="1:18" ht="12.75" customHeight="1">
      <c r="A15" s="78" t="s">
        <v>7</v>
      </c>
      <c r="B15" s="78">
        <f>ROUND((9737)*'(D) Tuition Fee Revenue'!D17/1000,0)*1000</f>
        <v>6329000</v>
      </c>
      <c r="C15" s="91"/>
      <c r="D15" s="83">
        <v>870000</v>
      </c>
      <c r="E15" s="83"/>
      <c r="F15" s="83"/>
      <c r="G15" s="83">
        <v>0</v>
      </c>
      <c r="H15" s="83"/>
      <c r="I15" s="83"/>
      <c r="J15" s="83"/>
      <c r="K15" s="417">
        <v>7038600</v>
      </c>
      <c r="L15" s="417"/>
      <c r="M15" s="83"/>
      <c r="N15" s="83"/>
      <c r="O15" s="83"/>
      <c r="P15" s="391">
        <f>-'(D) Tuition Fee Revenue'!Q17</f>
        <v>-3387000</v>
      </c>
      <c r="Q15" s="393"/>
      <c r="R15" s="79">
        <f t="shared" si="0"/>
        <v>10850600</v>
      </c>
    </row>
    <row r="16" spans="1:18" ht="12.75" customHeight="1">
      <c r="A16" s="78" t="s">
        <v>8</v>
      </c>
      <c r="B16" s="78">
        <f>ROUND((9737)*'(D) Tuition Fee Revenue'!D18/1000,0)*1000</f>
        <v>3749000</v>
      </c>
      <c r="C16" s="91"/>
      <c r="D16" s="83">
        <v>516000</v>
      </c>
      <c r="E16" s="83"/>
      <c r="F16" s="83"/>
      <c r="G16" s="83">
        <v>46000</v>
      </c>
      <c r="H16" s="83"/>
      <c r="I16" s="83"/>
      <c r="J16" s="83"/>
      <c r="K16" s="417">
        <v>4321000</v>
      </c>
      <c r="L16" s="417"/>
      <c r="M16" s="83"/>
      <c r="N16" s="83"/>
      <c r="O16" s="83"/>
      <c r="P16" s="391">
        <f>-'(D) Tuition Fee Revenue'!Q18</f>
        <v>-2110000</v>
      </c>
      <c r="Q16" s="393"/>
      <c r="R16" s="79">
        <f t="shared" si="0"/>
        <v>6522000</v>
      </c>
    </row>
    <row r="17" spans="1:18" ht="12.75" customHeight="1">
      <c r="A17" s="78" t="s">
        <v>9</v>
      </c>
      <c r="B17" s="78">
        <f>ROUND((9737)*'(D) Tuition Fee Revenue'!D19/1000,0)*1000</f>
        <v>1237000</v>
      </c>
      <c r="C17" s="91"/>
      <c r="D17" s="83">
        <v>71000</v>
      </c>
      <c r="E17" s="83"/>
      <c r="F17" s="83"/>
      <c r="G17" s="83">
        <v>580000</v>
      </c>
      <c r="H17" s="83"/>
      <c r="I17" s="83"/>
      <c r="J17" s="83"/>
      <c r="K17" s="417">
        <v>605600</v>
      </c>
      <c r="L17" s="417"/>
      <c r="M17" s="83"/>
      <c r="N17" s="83"/>
      <c r="O17" s="83"/>
      <c r="P17" s="391">
        <f>-'(D) Tuition Fee Revenue'!Q19</f>
        <v>-386000</v>
      </c>
      <c r="Q17" s="393"/>
      <c r="R17" s="79">
        <f t="shared" si="0"/>
        <v>2107600</v>
      </c>
    </row>
    <row r="18" spans="1:18" ht="12.75" customHeight="1">
      <c r="A18" s="78" t="s">
        <v>10</v>
      </c>
      <c r="B18" s="78">
        <f>ROUND((9737)*'(D) Tuition Fee Revenue'!D20/1000,0)*1000</f>
        <v>3895000</v>
      </c>
      <c r="C18" s="91"/>
      <c r="D18" s="83">
        <v>222000</v>
      </c>
      <c r="E18" s="83"/>
      <c r="F18" s="83"/>
      <c r="G18" s="83">
        <v>0</v>
      </c>
      <c r="H18" s="83"/>
      <c r="I18" s="83"/>
      <c r="J18" s="83"/>
      <c r="K18" s="417">
        <v>1645000</v>
      </c>
      <c r="L18" s="417"/>
      <c r="M18" s="83"/>
      <c r="N18" s="83"/>
      <c r="O18" s="83"/>
      <c r="P18" s="391">
        <f>-'(D) Tuition Fee Revenue'!Q20</f>
        <v>-1767000</v>
      </c>
      <c r="Q18" s="393"/>
      <c r="R18" s="79">
        <f t="shared" si="0"/>
        <v>3995000</v>
      </c>
    </row>
    <row r="19" spans="1:18" ht="12.75" customHeight="1">
      <c r="A19" s="78" t="s">
        <v>11</v>
      </c>
      <c r="B19" s="78">
        <f>ROUND((9737)*'(D) Tuition Fee Revenue'!D21/1000,0)*1000</f>
        <v>5550000</v>
      </c>
      <c r="C19" s="91"/>
      <c r="D19" s="83">
        <v>903000</v>
      </c>
      <c r="E19" s="83"/>
      <c r="F19" s="83"/>
      <c r="G19" s="83">
        <v>0</v>
      </c>
      <c r="H19" s="83"/>
      <c r="I19" s="83"/>
      <c r="J19" s="83"/>
      <c r="K19" s="417">
        <v>7034300</v>
      </c>
      <c r="L19" s="417"/>
      <c r="M19" s="83"/>
      <c r="N19" s="83"/>
      <c r="O19" s="83"/>
      <c r="P19" s="391">
        <f>-'(D) Tuition Fee Revenue'!Q21</f>
        <v>-2975000</v>
      </c>
      <c r="Q19" s="393"/>
      <c r="R19" s="79">
        <f t="shared" si="0"/>
        <v>10512300</v>
      </c>
    </row>
    <row r="20" spans="1:18" ht="12.75" customHeight="1">
      <c r="A20" s="78" t="s">
        <v>12</v>
      </c>
      <c r="B20" s="78">
        <f>ROUND((9737)*'(D) Tuition Fee Revenue'!D22/1000,0)*1000</f>
        <v>3895000</v>
      </c>
      <c r="C20" s="91"/>
      <c r="D20" s="83">
        <v>604000</v>
      </c>
      <c r="E20" s="83"/>
      <c r="F20" s="83"/>
      <c r="G20" s="83">
        <v>0</v>
      </c>
      <c r="H20" s="83"/>
      <c r="I20" s="83"/>
      <c r="J20" s="83"/>
      <c r="K20" s="417">
        <v>4535300</v>
      </c>
      <c r="L20" s="417"/>
      <c r="M20" s="83"/>
      <c r="N20" s="83"/>
      <c r="O20" s="83"/>
      <c r="P20" s="391">
        <f>-'(D) Tuition Fee Revenue'!Q22</f>
        <v>-1966000</v>
      </c>
      <c r="Q20" s="393"/>
      <c r="R20" s="79">
        <f t="shared" si="0"/>
        <v>7068300</v>
      </c>
    </row>
    <row r="21" spans="1:18" ht="12.75" customHeight="1">
      <c r="A21" s="78" t="s">
        <v>13</v>
      </c>
      <c r="B21" s="78">
        <f>ROUND((9737)*'(D) Tuition Fee Revenue'!D23/1000,0)*1000</f>
        <v>1947000</v>
      </c>
      <c r="C21" s="91"/>
      <c r="D21" s="83">
        <v>678000</v>
      </c>
      <c r="E21" s="83"/>
      <c r="F21" s="83"/>
      <c r="G21" s="83">
        <v>0</v>
      </c>
      <c r="H21" s="83"/>
      <c r="I21" s="83"/>
      <c r="J21" s="83"/>
      <c r="K21" s="417">
        <v>4981900</v>
      </c>
      <c r="L21" s="417"/>
      <c r="M21" s="83"/>
      <c r="N21" s="91">
        <v>442000</v>
      </c>
      <c r="O21" s="345">
        <v>3</v>
      </c>
      <c r="P21" s="391">
        <f>-'(D) Tuition Fee Revenue'!Q23</f>
        <v>-1044000</v>
      </c>
      <c r="Q21" s="393"/>
      <c r="R21" s="79">
        <f t="shared" si="0"/>
        <v>7004900</v>
      </c>
    </row>
    <row r="22" spans="1:18" ht="12.75" customHeight="1">
      <c r="A22" s="78" t="s">
        <v>14</v>
      </c>
      <c r="B22" s="78">
        <f>ROUND((9737)*'(D) Tuition Fee Revenue'!D24/1000,0)*1000</f>
        <v>4869000</v>
      </c>
      <c r="C22" s="91"/>
      <c r="D22" s="83">
        <v>480000</v>
      </c>
      <c r="E22" s="83"/>
      <c r="F22" s="83"/>
      <c r="G22" s="83">
        <v>0</v>
      </c>
      <c r="H22" s="83"/>
      <c r="I22" s="83"/>
      <c r="J22" s="83"/>
      <c r="K22" s="417">
        <v>3665000</v>
      </c>
      <c r="L22" s="417"/>
      <c r="M22" s="83"/>
      <c r="N22" s="83"/>
      <c r="O22" s="83"/>
      <c r="P22" s="391">
        <f>-'(D) Tuition Fee Revenue'!Q24</f>
        <v>-2511000</v>
      </c>
      <c r="Q22" s="393"/>
      <c r="R22" s="79">
        <f t="shared" si="0"/>
        <v>6503000</v>
      </c>
    </row>
    <row r="23" spans="1:18" ht="12.75" customHeight="1">
      <c r="A23" s="78" t="s">
        <v>15</v>
      </c>
      <c r="B23" s="78">
        <f>ROUND((9737)*'(D) Tuition Fee Revenue'!D25/1000,0)*1000</f>
        <v>1704000</v>
      </c>
      <c r="C23" s="91"/>
      <c r="D23" s="83">
        <v>891000</v>
      </c>
      <c r="E23" s="83"/>
      <c r="F23" s="83"/>
      <c r="G23" s="83">
        <v>272000</v>
      </c>
      <c r="H23" s="83"/>
      <c r="I23" s="83"/>
      <c r="J23" s="83"/>
      <c r="K23" s="417">
        <v>6596600</v>
      </c>
      <c r="L23" s="417"/>
      <c r="M23" s="83"/>
      <c r="N23" s="83"/>
      <c r="O23" s="83"/>
      <c r="P23" s="391">
        <f>-'(D) Tuition Fee Revenue'!Q25</f>
        <v>-868000</v>
      </c>
      <c r="Q23" s="393"/>
      <c r="R23" s="79">
        <f t="shared" si="0"/>
        <v>8595600</v>
      </c>
    </row>
    <row r="24" spans="1:18" ht="12.75" customHeight="1">
      <c r="A24" s="78" t="s">
        <v>16</v>
      </c>
      <c r="B24" s="78">
        <f>ROUND((9737)*'(D) Tuition Fee Revenue'!D26/1000,0)*1000</f>
        <v>2697000</v>
      </c>
      <c r="C24" s="91"/>
      <c r="D24" s="83">
        <v>799000</v>
      </c>
      <c r="E24" s="83"/>
      <c r="F24" s="83"/>
      <c r="G24" s="83">
        <v>0</v>
      </c>
      <c r="H24" s="83"/>
      <c r="I24" s="83"/>
      <c r="J24" s="83"/>
      <c r="K24" s="417">
        <v>6217200</v>
      </c>
      <c r="L24" s="417"/>
      <c r="M24" s="83"/>
      <c r="N24" s="83"/>
      <c r="O24" s="83"/>
      <c r="P24" s="391">
        <f>-'(D) Tuition Fee Revenue'!Q26</f>
        <v>-1384000</v>
      </c>
      <c r="Q24" s="393"/>
      <c r="R24" s="79">
        <f t="shared" si="0"/>
        <v>8329200</v>
      </c>
    </row>
    <row r="25" spans="1:18" ht="12.75" customHeight="1">
      <c r="A25" s="78" t="s">
        <v>17</v>
      </c>
      <c r="B25" s="78">
        <f>ROUND((9737)*'(D) Tuition Fee Revenue'!D27/1000,0)*1000</f>
        <v>4382000</v>
      </c>
      <c r="C25" s="91"/>
      <c r="D25" s="83">
        <v>773000</v>
      </c>
      <c r="E25" s="83"/>
      <c r="F25" s="83"/>
      <c r="G25" s="83">
        <v>0</v>
      </c>
      <c r="H25" s="83"/>
      <c r="I25" s="83"/>
      <c r="J25" s="83"/>
      <c r="K25" s="417">
        <v>5878500</v>
      </c>
      <c r="L25" s="417"/>
      <c r="M25" s="83"/>
      <c r="N25" s="83"/>
      <c r="O25" s="83"/>
      <c r="P25" s="391">
        <f>-'(D) Tuition Fee Revenue'!Q27</f>
        <v>-2353000</v>
      </c>
      <c r="Q25" s="393"/>
      <c r="R25" s="79">
        <f t="shared" si="0"/>
        <v>8680500</v>
      </c>
    </row>
    <row r="26" spans="1:18" ht="12.75" customHeight="1">
      <c r="A26" s="78" t="s">
        <v>18</v>
      </c>
      <c r="B26" s="78">
        <f>ROUND((9737)*'(D) Tuition Fee Revenue'!D28/1000,0)*1000</f>
        <v>3165000</v>
      </c>
      <c r="C26" s="91"/>
      <c r="D26" s="83">
        <v>657000</v>
      </c>
      <c r="E26" s="83"/>
      <c r="F26" s="83"/>
      <c r="G26" s="83">
        <v>0</v>
      </c>
      <c r="H26" s="83"/>
      <c r="I26" s="83"/>
      <c r="J26" s="83"/>
      <c r="K26" s="417">
        <v>5259100</v>
      </c>
      <c r="L26" s="417"/>
      <c r="M26" s="83"/>
      <c r="N26" s="83"/>
      <c r="O26" s="83"/>
      <c r="P26" s="391">
        <f>-'(D) Tuition Fee Revenue'!Q28</f>
        <v>-1431000</v>
      </c>
      <c r="Q26" s="393"/>
      <c r="R26" s="79">
        <f t="shared" si="0"/>
        <v>7650100</v>
      </c>
    </row>
    <row r="27" spans="1:18" ht="12.75" customHeight="1">
      <c r="A27" s="78" t="s">
        <v>19</v>
      </c>
      <c r="B27" s="78">
        <f>ROUND((9737)*'(D) Tuition Fee Revenue'!D29/1000,0)*1000</f>
        <v>6329000</v>
      </c>
      <c r="C27" s="91"/>
      <c r="D27" s="83">
        <v>328000</v>
      </c>
      <c r="E27" s="83"/>
      <c r="F27" s="83"/>
      <c r="G27" s="83">
        <v>0</v>
      </c>
      <c r="H27" s="83"/>
      <c r="I27" s="83"/>
      <c r="J27" s="83"/>
      <c r="K27" s="417">
        <v>2289100</v>
      </c>
      <c r="L27" s="417"/>
      <c r="M27" s="83"/>
      <c r="N27" s="83"/>
      <c r="O27" s="83"/>
      <c r="P27" s="391">
        <f>-'(D) Tuition Fee Revenue'!Q29</f>
        <v>-3431000</v>
      </c>
      <c r="Q27" s="393"/>
      <c r="R27" s="79">
        <f t="shared" si="0"/>
        <v>5515100</v>
      </c>
    </row>
    <row r="28" spans="1:18" ht="12.75" customHeight="1">
      <c r="A28" s="78" t="s">
        <v>20</v>
      </c>
      <c r="B28" s="78">
        <f>ROUND((9737)*'(D) Tuition Fee Revenue'!D30/1000,0)*1000</f>
        <v>2629000</v>
      </c>
      <c r="C28" s="91"/>
      <c r="D28" s="83">
        <v>282000</v>
      </c>
      <c r="E28" s="83"/>
      <c r="F28" s="83"/>
      <c r="G28" s="83">
        <v>0</v>
      </c>
      <c r="H28" s="83"/>
      <c r="I28" s="83"/>
      <c r="J28" s="83"/>
      <c r="K28" s="417">
        <v>2020100</v>
      </c>
      <c r="L28" s="417"/>
      <c r="M28" s="83"/>
      <c r="N28" s="83"/>
      <c r="O28" s="83"/>
      <c r="P28" s="391">
        <f>-'(D) Tuition Fee Revenue'!Q30</f>
        <v>-1258000</v>
      </c>
      <c r="Q28" s="393"/>
      <c r="R28" s="79">
        <f t="shared" si="0"/>
        <v>3673100</v>
      </c>
    </row>
    <row r="29" spans="1:18" ht="12.75" customHeight="1">
      <c r="A29" s="78" t="s">
        <v>21</v>
      </c>
      <c r="B29" s="78">
        <f>ROUND((9737)*'(D) Tuition Fee Revenue'!D31/1000,0)*1000</f>
        <v>1947000</v>
      </c>
      <c r="C29" s="91"/>
      <c r="D29" s="83">
        <v>253000</v>
      </c>
      <c r="E29" s="83"/>
      <c r="F29" s="83"/>
      <c r="G29" s="83">
        <v>0</v>
      </c>
      <c r="H29" s="83"/>
      <c r="I29" s="83"/>
      <c r="J29" s="83"/>
      <c r="K29" s="417">
        <v>1802900</v>
      </c>
      <c r="L29" s="417"/>
      <c r="M29" s="83"/>
      <c r="N29" s="83"/>
      <c r="O29" s="83"/>
      <c r="P29" s="391">
        <f>-'(D) Tuition Fee Revenue'!Q31</f>
        <v>-1023000</v>
      </c>
      <c r="Q29" s="393"/>
      <c r="R29" s="79">
        <f t="shared" si="0"/>
        <v>2979900</v>
      </c>
    </row>
    <row r="30" spans="1:18" ht="6" customHeight="1">
      <c r="A30" s="78"/>
      <c r="B30" s="78"/>
      <c r="C30" s="83"/>
      <c r="D30" s="83"/>
      <c r="E30" s="83"/>
      <c r="F30" s="83"/>
      <c r="G30" s="83"/>
      <c r="H30" s="83"/>
      <c r="I30" s="83"/>
      <c r="J30" s="83"/>
      <c r="K30" s="83"/>
      <c r="L30" s="83"/>
      <c r="M30" s="83"/>
      <c r="N30" s="83"/>
      <c r="O30" s="83"/>
      <c r="P30" s="80"/>
      <c r="Q30" s="80"/>
      <c r="R30" s="80"/>
    </row>
    <row r="31" spans="1:18" ht="12.75" customHeight="1">
      <c r="A31" s="81" t="s">
        <v>22</v>
      </c>
      <c r="B31" s="118">
        <f>SUM(B7:B30)</f>
        <v>81198000</v>
      </c>
      <c r="C31" s="118"/>
      <c r="D31" s="121">
        <f>SUM(D7:D30)</f>
        <v>11906000</v>
      </c>
      <c r="E31" s="121"/>
      <c r="F31" s="118"/>
      <c r="G31" s="121">
        <f>SUM(G7:G30)</f>
        <v>1597000</v>
      </c>
      <c r="H31" s="121"/>
      <c r="I31" s="121"/>
      <c r="J31" s="118"/>
      <c r="K31" s="121">
        <f>SUM(K7:K30)</f>
        <v>89873300</v>
      </c>
      <c r="L31" s="121"/>
      <c r="M31" s="118"/>
      <c r="N31" s="121">
        <f>SUM(N7:N30)</f>
        <v>442000</v>
      </c>
      <c r="O31" s="121"/>
      <c r="P31" s="82">
        <f>SUM(P7:P30)</f>
        <v>-41631000</v>
      </c>
      <c r="Q31" s="82"/>
      <c r="R31" s="82">
        <f>SUM(R7:R30)</f>
        <v>143385300</v>
      </c>
    </row>
    <row r="32" spans="1:18" ht="6" customHeight="1">
      <c r="A32" s="78"/>
      <c r="B32" s="78"/>
      <c r="C32" s="83"/>
      <c r="D32" s="83"/>
      <c r="E32" s="83"/>
      <c r="F32" s="83"/>
      <c r="G32" s="83"/>
      <c r="H32" s="83"/>
      <c r="I32" s="83"/>
      <c r="J32" s="83"/>
      <c r="K32" s="83"/>
      <c r="L32" s="83"/>
      <c r="M32" s="83"/>
      <c r="N32" s="83"/>
      <c r="O32" s="83"/>
      <c r="P32" s="80"/>
      <c r="Q32" s="80"/>
      <c r="R32" s="80"/>
    </row>
    <row r="33" spans="1:18" ht="12.75" customHeight="1">
      <c r="A33" s="119" t="s">
        <v>23</v>
      </c>
      <c r="B33" s="78">
        <f>ROUND(9737*'(D) Tuition Fee Revenue'!D35/1000,0)*1000</f>
        <v>0</v>
      </c>
      <c r="C33" s="83"/>
      <c r="D33" s="83">
        <v>160000</v>
      </c>
      <c r="E33" s="83"/>
      <c r="F33" s="83"/>
      <c r="G33" s="83">
        <f>C33-'(D) Tuition Fee Revenue'!R35</f>
        <v>0</v>
      </c>
      <c r="H33" s="83"/>
      <c r="I33" s="83"/>
      <c r="J33" s="83"/>
      <c r="K33" s="83">
        <v>1731700</v>
      </c>
      <c r="L33" s="83"/>
      <c r="M33" s="83"/>
      <c r="N33" s="83"/>
      <c r="O33" s="83"/>
      <c r="P33" s="391">
        <f>-'(D) Tuition Fee Revenue'!J35-'(D) Tuition Fee Revenue'!Q35</f>
        <v>0</v>
      </c>
      <c r="Q33" s="79"/>
      <c r="R33" s="79">
        <f>B33+D33+G33+K33+N33+P33</f>
        <v>1891700</v>
      </c>
    </row>
    <row r="34" spans="1:18" ht="12.75" customHeight="1">
      <c r="A34" s="119" t="s">
        <v>29</v>
      </c>
      <c r="B34" s="78">
        <f>ROUND(9737*'(D) Tuition Fee Revenue'!D36/1000,0)*1000</f>
        <v>0</v>
      </c>
      <c r="C34" s="83"/>
      <c r="D34" s="83">
        <v>0</v>
      </c>
      <c r="E34" s="83"/>
      <c r="F34" s="83"/>
      <c r="G34" s="83">
        <f>C34-'(D) Tuition Fee Revenue'!R36</f>
        <v>0</v>
      </c>
      <c r="H34" s="83"/>
      <c r="I34" s="83"/>
      <c r="J34" s="83"/>
      <c r="K34" s="83">
        <v>0</v>
      </c>
      <c r="L34" s="83"/>
      <c r="M34" s="83"/>
      <c r="N34" s="83"/>
      <c r="O34" s="83"/>
      <c r="P34" s="391">
        <v>0</v>
      </c>
      <c r="Q34" s="79"/>
      <c r="R34" s="79">
        <f>B34+D34+G34+K34+N34+P34</f>
        <v>0</v>
      </c>
    </row>
    <row r="35" spans="1:18" ht="12.75" customHeight="1">
      <c r="A35" s="119" t="s">
        <v>24</v>
      </c>
      <c r="B35" s="78">
        <f>ROUND(9737*'(D) Tuition Fee Revenue'!D37/1000,0)*1000</f>
        <v>0</v>
      </c>
      <c r="C35" s="83"/>
      <c r="D35" s="83">
        <v>0</v>
      </c>
      <c r="E35" s="83"/>
      <c r="F35" s="83"/>
      <c r="G35" s="83">
        <f>C35-'(D) Tuition Fee Revenue'!R37</f>
        <v>0</v>
      </c>
      <c r="H35" s="83"/>
      <c r="I35" s="83"/>
      <c r="J35" s="83"/>
      <c r="K35" s="83">
        <v>0</v>
      </c>
      <c r="L35" s="83"/>
      <c r="M35" s="83"/>
      <c r="N35" s="83"/>
      <c r="O35" s="83"/>
      <c r="P35" s="391">
        <v>0</v>
      </c>
      <c r="Q35" s="79"/>
      <c r="R35" s="79">
        <f>B35+D35+G35+K35+N35+P35</f>
        <v>0</v>
      </c>
    </row>
    <row r="36" spans="1:18" ht="12.75" customHeight="1">
      <c r="A36" s="119" t="s">
        <v>25</v>
      </c>
      <c r="B36" s="78">
        <f>ROUND(9737*'(D) Tuition Fee Revenue'!D38/1000,0)*1000</f>
        <v>0</v>
      </c>
      <c r="C36" s="83"/>
      <c r="D36" s="83">
        <v>0</v>
      </c>
      <c r="E36" s="83"/>
      <c r="F36" s="83"/>
      <c r="G36" s="83">
        <f>C36-'(D) Tuition Fee Revenue'!R38</f>
        <v>0</v>
      </c>
      <c r="H36" s="83"/>
      <c r="I36" s="83"/>
      <c r="J36" s="83"/>
      <c r="K36" s="83">
        <v>0</v>
      </c>
      <c r="L36" s="83"/>
      <c r="M36" s="83"/>
      <c r="N36" s="83"/>
      <c r="O36" s="83"/>
      <c r="P36" s="391">
        <v>0</v>
      </c>
      <c r="Q36" s="79"/>
      <c r="R36" s="79">
        <f>B36+D36+G36+K36+N36+P36</f>
        <v>0</v>
      </c>
    </row>
    <row r="37" spans="1:18" ht="12.75" customHeight="1">
      <c r="A37" s="418" t="s">
        <v>26</v>
      </c>
      <c r="B37" s="78">
        <f>ROUND(9737*'(D) Tuition Fee Revenue'!D39/1000,0)*1000</f>
        <v>0</v>
      </c>
      <c r="C37" s="83"/>
      <c r="D37" s="83">
        <v>0</v>
      </c>
      <c r="E37" s="83"/>
      <c r="F37" s="83"/>
      <c r="G37" s="83">
        <v>10000000</v>
      </c>
      <c r="H37" s="83"/>
      <c r="I37" s="83"/>
      <c r="J37" s="83"/>
      <c r="K37" s="83">
        <v>1000000</v>
      </c>
      <c r="L37" s="83"/>
      <c r="N37" s="83">
        <f>618000+22000+10282000-'(B) Base Bud Adj'!AT38</f>
        <v>-13613000</v>
      </c>
      <c r="O37" s="345">
        <v>4</v>
      </c>
      <c r="P37" s="391">
        <f>-'(D) Tuition Fee Revenue'!J39-'(D) Tuition Fee Revenue'!Q39</f>
        <v>0</v>
      </c>
      <c r="Q37" s="188"/>
      <c r="R37" s="79">
        <f>B37+D37+G37+K37+N37+P37</f>
        <v>-2613000</v>
      </c>
    </row>
    <row r="38" spans="1:18" ht="5.25" customHeight="1">
      <c r="A38" s="418"/>
      <c r="B38" s="78"/>
      <c r="C38" s="83"/>
      <c r="D38" s="83"/>
      <c r="E38" s="83"/>
      <c r="F38" s="83"/>
      <c r="G38" s="83"/>
      <c r="H38" s="83"/>
      <c r="I38" s="83"/>
      <c r="J38" s="83"/>
      <c r="K38" s="83"/>
      <c r="L38" s="83"/>
      <c r="M38" s="83"/>
      <c r="N38" s="83"/>
      <c r="O38" s="83"/>
      <c r="P38" s="79"/>
      <c r="Q38" s="79"/>
      <c r="R38" s="79"/>
    </row>
    <row r="39" spans="1:18" ht="9" customHeight="1">
      <c r="A39" s="83"/>
      <c r="B39" s="92"/>
      <c r="C39" s="83"/>
      <c r="D39" s="83"/>
      <c r="E39" s="83"/>
      <c r="F39" s="83"/>
      <c r="G39" s="83"/>
      <c r="H39" s="83"/>
      <c r="I39" s="83"/>
      <c r="J39" s="83"/>
      <c r="K39" s="83"/>
      <c r="L39" s="83"/>
      <c r="M39" s="83"/>
      <c r="N39" s="83"/>
      <c r="O39" s="83"/>
      <c r="P39" s="80"/>
      <c r="Q39" s="80"/>
      <c r="R39" s="80"/>
    </row>
    <row r="40" spans="1:18" ht="15.75" customHeight="1" thickBot="1">
      <c r="A40" s="84" t="s">
        <v>27</v>
      </c>
      <c r="B40" s="339">
        <f>SUM(B31:B37)</f>
        <v>81198000</v>
      </c>
      <c r="C40" s="340"/>
      <c r="D40" s="341">
        <f>SUM(D31:D37)</f>
        <v>12066000</v>
      </c>
      <c r="E40" s="341"/>
      <c r="F40" s="340"/>
      <c r="G40" s="341">
        <f>SUM(G31:G37)</f>
        <v>11597000</v>
      </c>
      <c r="H40" s="341"/>
      <c r="I40" s="341"/>
      <c r="J40" s="340"/>
      <c r="K40" s="341">
        <f>SUM(K31:K37)</f>
        <v>92605000</v>
      </c>
      <c r="L40" s="341"/>
      <c r="M40" s="340"/>
      <c r="N40" s="341">
        <f>SUM(N31:N37)</f>
        <v>-13171000</v>
      </c>
      <c r="O40" s="341"/>
      <c r="P40" s="284">
        <f>SUM(P31:P37)</f>
        <v>-41631000</v>
      </c>
      <c r="Q40" s="284"/>
      <c r="R40" s="284">
        <f>SUM(R31:R37)</f>
        <v>142664000</v>
      </c>
    </row>
    <row r="41" spans="1:19" ht="15.75">
      <c r="A41" s="78"/>
      <c r="B41" s="78"/>
      <c r="C41" s="83"/>
      <c r="D41" s="83"/>
      <c r="E41" s="83"/>
      <c r="G41" s="83"/>
      <c r="H41" s="83"/>
      <c r="I41" s="83"/>
      <c r="J41" s="83"/>
      <c r="K41" s="83"/>
      <c r="L41" s="83"/>
      <c r="M41" s="83"/>
      <c r="N41" s="83"/>
      <c r="O41" s="83"/>
      <c r="P41" s="85"/>
      <c r="Q41" s="85"/>
      <c r="R41" s="80"/>
      <c r="S41" s="83"/>
    </row>
    <row r="42" spans="1:19" ht="15.75">
      <c r="A42" s="283" t="s">
        <v>147</v>
      </c>
      <c r="B42" s="78"/>
      <c r="C42" s="83"/>
      <c r="D42" s="83"/>
      <c r="E42" s="83"/>
      <c r="G42" s="83"/>
      <c r="H42" s="83"/>
      <c r="I42" s="83"/>
      <c r="J42" s="83"/>
      <c r="K42" s="83"/>
      <c r="L42" s="83"/>
      <c r="M42" s="83"/>
      <c r="N42" s="83"/>
      <c r="O42" s="83"/>
      <c r="P42" s="85"/>
      <c r="Q42" s="85"/>
      <c r="R42" s="80"/>
      <c r="S42" s="83"/>
    </row>
    <row r="43" spans="1:19" ht="15.75">
      <c r="A43" s="283" t="s">
        <v>172</v>
      </c>
      <c r="B43" s="78"/>
      <c r="C43" s="83"/>
      <c r="D43" s="83"/>
      <c r="E43" s="83"/>
      <c r="F43" s="83"/>
      <c r="G43" s="83"/>
      <c r="H43" s="83"/>
      <c r="I43" s="83"/>
      <c r="J43" s="83"/>
      <c r="K43" s="83"/>
      <c r="L43" s="83"/>
      <c r="M43" s="83"/>
      <c r="N43" s="83"/>
      <c r="O43" s="83"/>
      <c r="P43" s="85"/>
      <c r="Q43" s="85"/>
      <c r="S43" s="67"/>
    </row>
    <row r="44" spans="1:19" ht="15" customHeight="1">
      <c r="A44" s="283" t="s">
        <v>150</v>
      </c>
      <c r="B44" s="283"/>
      <c r="C44" s="283"/>
      <c r="D44" s="283"/>
      <c r="E44" s="283"/>
      <c r="F44" s="283"/>
      <c r="G44" s="283"/>
      <c r="H44" s="283"/>
      <c r="I44" s="283"/>
      <c r="J44" s="283"/>
      <c r="K44" s="283"/>
      <c r="L44" s="283"/>
      <c r="M44" s="283"/>
      <c r="N44" s="283"/>
      <c r="O44" s="283"/>
      <c r="P44" s="283"/>
      <c r="Q44" s="283"/>
      <c r="R44" s="172"/>
      <c r="S44" s="172"/>
    </row>
    <row r="45" spans="1:19" ht="15.75">
      <c r="A45" s="423" t="s">
        <v>176</v>
      </c>
      <c r="B45" s="423"/>
      <c r="C45" s="423"/>
      <c r="D45" s="423"/>
      <c r="E45" s="423"/>
      <c r="F45" s="423"/>
      <c r="G45" s="423"/>
      <c r="H45" s="423"/>
      <c r="I45" s="423"/>
      <c r="J45" s="423"/>
      <c r="K45" s="423"/>
      <c r="L45" s="423"/>
      <c r="M45" s="423"/>
      <c r="N45" s="423"/>
      <c r="O45" s="423"/>
      <c r="P45" s="423"/>
      <c r="Q45" s="423"/>
      <c r="R45" s="423"/>
      <c r="S45" s="83"/>
    </row>
    <row r="46" spans="16:19" ht="15.75">
      <c r="P46" s="73"/>
      <c r="Q46" s="73"/>
      <c r="R46" s="79"/>
      <c r="S46" s="67"/>
    </row>
    <row r="47" spans="16:18" ht="15.75">
      <c r="P47" s="73"/>
      <c r="Q47" s="73"/>
      <c r="R47" s="75"/>
    </row>
    <row r="48" spans="16:19" ht="15.75">
      <c r="P48" s="73"/>
      <c r="Q48" s="73"/>
      <c r="R48" s="172"/>
      <c r="S48" s="83"/>
    </row>
    <row r="49" spans="16:19" ht="15.75">
      <c r="P49" s="73"/>
      <c r="Q49" s="73"/>
      <c r="R49" s="172"/>
      <c r="S49" s="83"/>
    </row>
    <row r="50" spans="1:19" ht="15.75">
      <c r="A50" s="67"/>
      <c r="B50" s="67"/>
      <c r="R50" s="83"/>
      <c r="S50" s="83"/>
    </row>
    <row r="51" spans="1:18" ht="15.75">
      <c r="A51" s="67"/>
      <c r="B51" s="67"/>
      <c r="R51" s="419"/>
    </row>
    <row r="52" spans="1:18" ht="15.75">
      <c r="A52" s="67"/>
      <c r="B52" s="67"/>
      <c r="R52" s="83"/>
    </row>
    <row r="53" spans="1:2" ht="15.75">
      <c r="A53" s="67"/>
      <c r="B53" s="67"/>
    </row>
    <row r="54" spans="1:2" ht="15.75">
      <c r="A54" s="67"/>
      <c r="B54" s="67"/>
    </row>
    <row r="55" spans="1:15" ht="15.75">
      <c r="A55" s="74"/>
      <c r="B55" s="74"/>
      <c r="C55" s="74"/>
      <c r="D55" s="74"/>
      <c r="E55" s="74"/>
      <c r="F55" s="74"/>
      <c r="G55" s="74"/>
      <c r="H55" s="74"/>
      <c r="I55" s="74"/>
      <c r="J55" s="74"/>
      <c r="K55" s="74"/>
      <c r="L55" s="74"/>
      <c r="M55" s="74"/>
      <c r="N55" s="74"/>
      <c r="O55" s="74"/>
    </row>
    <row r="56" spans="1:2" ht="15.75">
      <c r="A56" s="67"/>
      <c r="B56" s="67"/>
    </row>
    <row r="57" spans="1:2" ht="15.75">
      <c r="A57" s="67"/>
      <c r="B57" s="67"/>
    </row>
    <row r="58" spans="1:2" ht="15.75">
      <c r="A58" s="67"/>
      <c r="B58" s="67"/>
    </row>
    <row r="59" spans="1:2" ht="15.75">
      <c r="A59" s="67"/>
      <c r="B59" s="67"/>
    </row>
    <row r="60" spans="1:2" ht="15.75">
      <c r="A60" s="67"/>
      <c r="B60" s="67"/>
    </row>
    <row r="61" spans="1:2" ht="15.75">
      <c r="A61" s="67"/>
      <c r="B61" s="67"/>
    </row>
    <row r="62" spans="1:2" ht="15.75">
      <c r="A62" s="67"/>
      <c r="B62" s="67"/>
    </row>
    <row r="63" spans="1:15" ht="15.75">
      <c r="A63" s="74"/>
      <c r="B63" s="74"/>
      <c r="C63" s="74"/>
      <c r="D63" s="74"/>
      <c r="E63" s="74"/>
      <c r="F63" s="74"/>
      <c r="G63" s="74"/>
      <c r="H63" s="74"/>
      <c r="I63" s="74"/>
      <c r="J63" s="74"/>
      <c r="K63" s="74"/>
      <c r="L63" s="74"/>
      <c r="M63" s="74"/>
      <c r="N63" s="74"/>
      <c r="O63" s="74"/>
    </row>
    <row r="64" spans="1:2" ht="15.75">
      <c r="A64" s="67"/>
      <c r="B64" s="67"/>
    </row>
    <row r="65" spans="1:2" ht="15.75">
      <c r="A65" s="67"/>
      <c r="B65" s="67"/>
    </row>
    <row r="66" spans="1:2" ht="15.75">
      <c r="A66" s="67"/>
      <c r="B66" s="67"/>
    </row>
    <row r="67" spans="1:2" ht="15.75">
      <c r="A67" s="67"/>
      <c r="B67" s="67"/>
    </row>
    <row r="68" spans="1:2" ht="15.75">
      <c r="A68" s="67"/>
      <c r="B68" s="67"/>
    </row>
    <row r="69" spans="1:2" ht="15.75">
      <c r="A69" s="67"/>
      <c r="B69" s="67"/>
    </row>
  </sheetData>
  <sheetProtection/>
  <mergeCells count="2">
    <mergeCell ref="A45:R45"/>
    <mergeCell ref="F4:H4"/>
  </mergeCells>
  <printOptions horizontalCentered="1"/>
  <pageMargins left="0.75" right="0.25" top="0.5" bottom="0.25" header="0.5" footer="0.5"/>
  <pageSetup fitToHeight="1" fitToWidth="1" horizontalDpi="600" verticalDpi="600" orientation="landscape" paperSize="5" scale="91" r:id="rId1"/>
</worksheet>
</file>

<file path=xl/worksheets/sheet4.xml><?xml version="1.0" encoding="utf-8"?>
<worksheet xmlns="http://schemas.openxmlformats.org/spreadsheetml/2006/main" xmlns:r="http://schemas.openxmlformats.org/officeDocument/2006/relationships">
  <sheetPr>
    <pageSetUpPr fitToPage="1"/>
  </sheetPr>
  <dimension ref="A1:U51"/>
  <sheetViews>
    <sheetView zoomScalePageLayoutView="0" workbookViewId="0" topLeftCell="A1">
      <pane xSplit="1" ySplit="8" topLeftCell="B9" activePane="bottomRight" state="frozen"/>
      <selection pane="topLeft" activeCell="P9" sqref="P9"/>
      <selection pane="topRight" activeCell="P9" sqref="P9"/>
      <selection pane="bottomLeft" activeCell="P9" sqref="P9"/>
      <selection pane="bottomRight" activeCell="A8" sqref="A8"/>
    </sheetView>
  </sheetViews>
  <sheetFormatPr defaultColWidth="9.33203125" defaultRowHeight="12.75"/>
  <cols>
    <col min="1" max="1" width="23.83203125" style="49" customWidth="1"/>
    <col min="2" max="2" width="10.83203125" style="49" customWidth="1"/>
    <col min="3" max="3" width="8.5" style="49" customWidth="1"/>
    <col min="4" max="4" width="10.33203125" style="49" bestFit="1" customWidth="1"/>
    <col min="5" max="5" width="10.66015625" style="49" bestFit="1" customWidth="1"/>
    <col min="6" max="6" width="10.83203125" style="49" customWidth="1"/>
    <col min="7" max="7" width="11.83203125" style="49" customWidth="1"/>
    <col min="8" max="10" width="12.83203125" style="49" customWidth="1"/>
    <col min="11" max="11" width="3.83203125" style="49" customWidth="1"/>
    <col min="12" max="12" width="12.83203125" style="49" customWidth="1"/>
    <col min="13" max="13" width="3.83203125" style="49" customWidth="1"/>
    <col min="14" max="14" width="14.83203125" style="49" customWidth="1"/>
    <col min="15" max="15" width="1.0078125" style="49" customWidth="1"/>
    <col min="16" max="16" width="3.83203125" style="49" customWidth="1"/>
    <col min="17" max="17" width="12.83203125" style="49" customWidth="1"/>
    <col min="18" max="18" width="3.83203125" style="49" customWidth="1"/>
    <col min="19" max="19" width="1.0078125" style="49" customWidth="1"/>
    <col min="20" max="20" width="12.83203125" style="49" customWidth="1"/>
    <col min="21" max="21" width="8.83203125" style="49" customWidth="1"/>
    <col min="22" max="22" width="11.66015625" style="49" customWidth="1"/>
    <col min="23" max="226" width="8.83203125" style="49" customWidth="1"/>
    <col min="227" max="227" width="24.16015625" style="49" customWidth="1"/>
    <col min="228" max="230" width="16.5" style="49" customWidth="1"/>
    <col min="231" max="231" width="18" style="49" customWidth="1"/>
    <col min="232" max="232" width="16.5" style="49" customWidth="1"/>
    <col min="233" max="233" width="4" style="49" customWidth="1"/>
    <col min="234" max="236" width="9.33203125" style="49" customWidth="1"/>
    <col min="237" max="237" width="22.5" style="49" customWidth="1"/>
    <col min="238" max="238" width="3.83203125" style="49" customWidth="1"/>
    <col min="239" max="239" width="16.5" style="49" customWidth="1"/>
    <col min="240" max="240" width="17.33203125" style="49" customWidth="1"/>
    <col min="241" max="244" width="16.5" style="49" customWidth="1"/>
    <col min="245" max="246" width="9.33203125" style="49" customWidth="1"/>
    <col min="247" max="247" width="18.83203125" style="49" customWidth="1"/>
    <col min="248" max="248" width="16.5" style="49" customWidth="1"/>
    <col min="249" max="249" width="17.83203125" style="49" customWidth="1"/>
    <col min="250" max="252" width="16.5" style="49" customWidth="1"/>
    <col min="253" max="253" width="17.83203125" style="49" bestFit="1" customWidth="1"/>
    <col min="254" max="254" width="16.5" style="49" customWidth="1"/>
    <col min="255" max="255" width="21" style="49" customWidth="1"/>
    <col min="256" max="16384" width="16.5" style="49" customWidth="1"/>
  </cols>
  <sheetData>
    <row r="1" spans="1:19" s="46" customFormat="1" ht="18.75" customHeight="1">
      <c r="A1" s="232" t="s">
        <v>167</v>
      </c>
      <c r="B1" s="45"/>
      <c r="C1" s="45"/>
      <c r="D1" s="45"/>
      <c r="E1" s="45"/>
      <c r="F1" s="45"/>
      <c r="G1" s="45"/>
      <c r="H1" s="45"/>
      <c r="I1" s="45"/>
      <c r="Q1" s="65"/>
      <c r="R1" s="65"/>
      <c r="S1" s="65"/>
    </row>
    <row r="2" spans="1:20" s="47" customFormat="1" ht="6" customHeight="1">
      <c r="A2" s="61"/>
      <c r="T2" s="48"/>
    </row>
    <row r="3" spans="1:20" ht="15.75" customHeight="1" thickBot="1">
      <c r="A3" s="206"/>
      <c r="B3" s="113">
        <v>-1</v>
      </c>
      <c r="C3" s="113">
        <v>-2</v>
      </c>
      <c r="D3" s="113">
        <v>-3</v>
      </c>
      <c r="E3" s="113">
        <v>-4</v>
      </c>
      <c r="F3" s="113">
        <v>-5</v>
      </c>
      <c r="G3" s="44" t="s">
        <v>56</v>
      </c>
      <c r="H3" s="44" t="s">
        <v>57</v>
      </c>
      <c r="I3" s="44" t="s">
        <v>58</v>
      </c>
      <c r="J3" s="44" t="s">
        <v>67</v>
      </c>
      <c r="K3" s="44"/>
      <c r="L3" s="44" t="s">
        <v>71</v>
      </c>
      <c r="M3" s="44"/>
      <c r="N3" s="44" t="s">
        <v>59</v>
      </c>
      <c r="O3" s="44"/>
      <c r="P3" s="44"/>
      <c r="Q3" s="44" t="s">
        <v>95</v>
      </c>
      <c r="R3" s="44"/>
      <c r="S3" s="44"/>
      <c r="T3" s="44" t="s">
        <v>96</v>
      </c>
    </row>
    <row r="4" spans="1:21" ht="13.5" customHeight="1">
      <c r="A4" s="110"/>
      <c r="B4" s="451" t="s">
        <v>68</v>
      </c>
      <c r="C4" s="452"/>
      <c r="D4" s="452"/>
      <c r="E4" s="452"/>
      <c r="F4" s="453"/>
      <c r="G4" s="451" t="s">
        <v>78</v>
      </c>
      <c r="H4" s="452"/>
      <c r="I4" s="452"/>
      <c r="J4" s="452"/>
      <c r="K4" s="452"/>
      <c r="L4" s="452"/>
      <c r="M4" s="190"/>
      <c r="N4" s="451" t="s">
        <v>79</v>
      </c>
      <c r="O4" s="452"/>
      <c r="P4" s="452"/>
      <c r="Q4" s="452"/>
      <c r="R4" s="452"/>
      <c r="S4" s="452"/>
      <c r="T4" s="453"/>
      <c r="U4" s="46"/>
    </row>
    <row r="5" spans="1:21" s="52" customFormat="1" ht="72" customHeight="1" thickBot="1">
      <c r="A5" s="288"/>
      <c r="B5" s="289" t="s">
        <v>92</v>
      </c>
      <c r="C5" s="290" t="s">
        <v>109</v>
      </c>
      <c r="D5" s="290" t="s">
        <v>94</v>
      </c>
      <c r="E5" s="290" t="s">
        <v>93</v>
      </c>
      <c r="F5" s="291" t="s">
        <v>123</v>
      </c>
      <c r="G5" s="292" t="s">
        <v>101</v>
      </c>
      <c r="H5" s="457" t="s">
        <v>136</v>
      </c>
      <c r="I5" s="458"/>
      <c r="J5" s="459"/>
      <c r="K5" s="457" t="s">
        <v>80</v>
      </c>
      <c r="L5" s="458"/>
      <c r="M5" s="458"/>
      <c r="N5" s="293" t="s">
        <v>81</v>
      </c>
      <c r="O5" s="290"/>
      <c r="P5" s="458" t="s">
        <v>82</v>
      </c>
      <c r="Q5" s="458"/>
      <c r="R5" s="458"/>
      <c r="S5" s="290"/>
      <c r="T5" s="294" t="s">
        <v>83</v>
      </c>
      <c r="U5" s="120"/>
    </row>
    <row r="6" spans="1:21" s="64" customFormat="1" ht="25.5">
      <c r="A6" s="96"/>
      <c r="B6" s="455" t="s">
        <v>61</v>
      </c>
      <c r="C6" s="456"/>
      <c r="D6" s="456"/>
      <c r="E6" s="456"/>
      <c r="F6" s="261"/>
      <c r="G6" s="265"/>
      <c r="H6" s="181" t="s">
        <v>61</v>
      </c>
      <c r="I6" s="109" t="s">
        <v>62</v>
      </c>
      <c r="J6" s="191" t="s">
        <v>69</v>
      </c>
      <c r="K6" s="181"/>
      <c r="L6" s="109" t="s">
        <v>70</v>
      </c>
      <c r="M6" s="109"/>
      <c r="N6" s="454" t="s">
        <v>135</v>
      </c>
      <c r="O6" s="178"/>
      <c r="P6" s="178"/>
      <c r="T6" s="185"/>
      <c r="U6" s="63"/>
    </row>
    <row r="7" spans="1:21" s="64" customFormat="1" ht="18.75" customHeight="1">
      <c r="A7" s="96"/>
      <c r="B7" s="96"/>
      <c r="C7" s="63"/>
      <c r="D7" s="63"/>
      <c r="E7" s="180" t="s">
        <v>134</v>
      </c>
      <c r="F7" s="262"/>
      <c r="G7" s="266"/>
      <c r="H7" s="213"/>
      <c r="I7" s="108"/>
      <c r="J7" s="89" t="s">
        <v>97</v>
      </c>
      <c r="K7" s="192"/>
      <c r="L7" s="108" t="s">
        <v>121</v>
      </c>
      <c r="M7" s="108"/>
      <c r="N7" s="454"/>
      <c r="O7" s="178"/>
      <c r="P7" s="178"/>
      <c r="Q7" s="179" t="s">
        <v>98</v>
      </c>
      <c r="R7" s="179"/>
      <c r="S7" s="179"/>
      <c r="T7" s="99" t="s">
        <v>99</v>
      </c>
      <c r="U7" s="63"/>
    </row>
    <row r="8" spans="1:21" s="52" customFormat="1" ht="15">
      <c r="A8" s="51"/>
      <c r="B8" s="51"/>
      <c r="C8" s="120"/>
      <c r="D8" s="50"/>
      <c r="E8" s="120"/>
      <c r="F8" s="182"/>
      <c r="G8" s="267"/>
      <c r="H8" s="182"/>
      <c r="I8" s="120"/>
      <c r="J8" s="117"/>
      <c r="K8" s="182"/>
      <c r="L8" s="120"/>
      <c r="M8" s="120"/>
      <c r="N8" s="51"/>
      <c r="O8" s="120"/>
      <c r="P8" s="120"/>
      <c r="T8" s="62"/>
      <c r="U8" s="50"/>
    </row>
    <row r="9" spans="1:21" ht="12.75" customHeight="1">
      <c r="A9" s="97" t="s">
        <v>0</v>
      </c>
      <c r="B9" s="257">
        <v>7056</v>
      </c>
      <c r="C9" s="207"/>
      <c r="D9" s="209">
        <v>160</v>
      </c>
      <c r="E9" s="323">
        <f aca="true" t="shared" si="0" ref="E9:E31">B9+D9+C9</f>
        <v>7216</v>
      </c>
      <c r="F9" s="184">
        <v>143.86</v>
      </c>
      <c r="G9" s="268"/>
      <c r="H9" s="183">
        <v>827000</v>
      </c>
      <c r="I9" s="88">
        <v>38000</v>
      </c>
      <c r="J9" s="215">
        <f>H9+I9</f>
        <v>865000</v>
      </c>
      <c r="K9" s="183"/>
      <c r="L9" s="239">
        <v>983000</v>
      </c>
      <c r="M9" s="239"/>
      <c r="N9" s="97">
        <f aca="true" t="shared" si="1" ref="N9:N31">ROUND(D9*-1318/1000,0)*1000</f>
        <v>-211000</v>
      </c>
      <c r="O9" s="239"/>
      <c r="P9" s="239"/>
      <c r="Q9" s="239">
        <f>L9+N9</f>
        <v>772000</v>
      </c>
      <c r="R9" s="241"/>
      <c r="S9" s="241"/>
      <c r="T9" s="242">
        <f>G9+J9+Q9</f>
        <v>1637000</v>
      </c>
      <c r="U9" s="95"/>
    </row>
    <row r="10" spans="1:21" ht="12.75" customHeight="1">
      <c r="A10" s="87" t="s">
        <v>1</v>
      </c>
      <c r="B10" s="257">
        <v>3367</v>
      </c>
      <c r="C10" s="207">
        <v>1033</v>
      </c>
      <c r="D10" s="209">
        <v>600</v>
      </c>
      <c r="E10" s="323">
        <f t="shared" si="0"/>
        <v>5000</v>
      </c>
      <c r="F10" s="184">
        <v>23.33</v>
      </c>
      <c r="G10" s="268">
        <v>6342000</v>
      </c>
      <c r="H10" s="184">
        <v>-234000</v>
      </c>
      <c r="I10" s="86">
        <v>55000</v>
      </c>
      <c r="J10" s="217">
        <f>H10+I10</f>
        <v>-179000</v>
      </c>
      <c r="K10" s="184"/>
      <c r="L10" s="208">
        <v>3630000</v>
      </c>
      <c r="M10" s="208"/>
      <c r="N10" s="87">
        <f t="shared" si="1"/>
        <v>-791000</v>
      </c>
      <c r="O10" s="208"/>
      <c r="P10" s="208"/>
      <c r="Q10" s="208">
        <f>L10+N10</f>
        <v>2839000</v>
      </c>
      <c r="R10" s="244"/>
      <c r="S10" s="244"/>
      <c r="T10" s="245">
        <f>G10+J10+Q10</f>
        <v>9002000</v>
      </c>
      <c r="U10" s="95"/>
    </row>
    <row r="11" spans="1:21" ht="12.75" customHeight="1">
      <c r="A11" s="87" t="s">
        <v>2</v>
      </c>
      <c r="B11" s="257">
        <v>14363</v>
      </c>
      <c r="C11" s="207"/>
      <c r="D11" s="209">
        <v>200</v>
      </c>
      <c r="E11" s="323">
        <f t="shared" si="0"/>
        <v>14563</v>
      </c>
      <c r="F11" s="184">
        <v>583.81</v>
      </c>
      <c r="G11" s="269"/>
      <c r="H11" s="184">
        <v>990000</v>
      </c>
      <c r="I11" s="86">
        <v>351000</v>
      </c>
      <c r="J11" s="217">
        <f aca="true" t="shared" si="2" ref="J11:J31">H11+I11</f>
        <v>1341000</v>
      </c>
      <c r="K11" s="184"/>
      <c r="L11" s="208">
        <v>1168000</v>
      </c>
      <c r="M11" s="208"/>
      <c r="N11" s="87">
        <f t="shared" si="1"/>
        <v>-264000</v>
      </c>
      <c r="O11" s="208"/>
      <c r="P11" s="208"/>
      <c r="Q11" s="208">
        <f aca="true" t="shared" si="3" ref="Q11:Q31">L11+N11</f>
        <v>904000</v>
      </c>
      <c r="R11" s="244"/>
      <c r="S11" s="244"/>
      <c r="T11" s="245">
        <f aca="true" t="shared" si="4" ref="T11:T31">G11+J11+Q11</f>
        <v>2245000</v>
      </c>
      <c r="U11" s="95"/>
    </row>
    <row r="12" spans="1:21" ht="12.75" customHeight="1">
      <c r="A12" s="87" t="s">
        <v>3</v>
      </c>
      <c r="B12" s="257">
        <v>9628</v>
      </c>
      <c r="C12" s="207"/>
      <c r="D12" s="209">
        <v>300</v>
      </c>
      <c r="E12" s="323">
        <f t="shared" si="0"/>
        <v>9928</v>
      </c>
      <c r="F12" s="184">
        <v>81.63</v>
      </c>
      <c r="G12" s="269"/>
      <c r="H12" s="184">
        <v>97000</v>
      </c>
      <c r="I12" s="86">
        <v>-31000</v>
      </c>
      <c r="J12" s="217">
        <f t="shared" si="2"/>
        <v>66000</v>
      </c>
      <c r="K12" s="184"/>
      <c r="L12" s="208">
        <v>2075000</v>
      </c>
      <c r="M12" s="208"/>
      <c r="N12" s="87">
        <f t="shared" si="1"/>
        <v>-395000</v>
      </c>
      <c r="O12" s="208"/>
      <c r="P12" s="208"/>
      <c r="Q12" s="208">
        <f t="shared" si="3"/>
        <v>1680000</v>
      </c>
      <c r="R12" s="244"/>
      <c r="S12" s="244"/>
      <c r="T12" s="245">
        <f t="shared" si="4"/>
        <v>1746000</v>
      </c>
      <c r="U12" s="95"/>
    </row>
    <row r="13" spans="1:21" ht="12.75" customHeight="1">
      <c r="A13" s="87" t="s">
        <v>28</v>
      </c>
      <c r="B13" s="257">
        <v>11436</v>
      </c>
      <c r="C13" s="207"/>
      <c r="D13" s="209">
        <v>325</v>
      </c>
      <c r="E13" s="323">
        <f t="shared" si="0"/>
        <v>11761</v>
      </c>
      <c r="F13" s="184">
        <v>1044.08</v>
      </c>
      <c r="G13" s="269"/>
      <c r="H13" s="184">
        <v>1243000</v>
      </c>
      <c r="I13" s="86">
        <v>-206000</v>
      </c>
      <c r="J13" s="217">
        <f t="shared" si="2"/>
        <v>1037000</v>
      </c>
      <c r="K13" s="184"/>
      <c r="L13" s="208">
        <v>2063000</v>
      </c>
      <c r="M13" s="208"/>
      <c r="N13" s="87">
        <f t="shared" si="1"/>
        <v>-428000</v>
      </c>
      <c r="O13" s="208"/>
      <c r="P13" s="208"/>
      <c r="Q13" s="208">
        <f t="shared" si="3"/>
        <v>1635000</v>
      </c>
      <c r="R13" s="244"/>
      <c r="S13" s="244"/>
      <c r="T13" s="245">
        <f t="shared" si="4"/>
        <v>2672000</v>
      </c>
      <c r="U13" s="95"/>
    </row>
    <row r="14" spans="1:21" ht="12.75" customHeight="1">
      <c r="A14" s="87" t="s">
        <v>4</v>
      </c>
      <c r="B14" s="257">
        <v>17778</v>
      </c>
      <c r="C14" s="207"/>
      <c r="D14" s="209">
        <v>400</v>
      </c>
      <c r="E14" s="323">
        <f t="shared" si="0"/>
        <v>18178</v>
      </c>
      <c r="F14" s="184">
        <v>426.43</v>
      </c>
      <c r="G14" s="269"/>
      <c r="H14" s="184">
        <v>478000</v>
      </c>
      <c r="I14" s="86">
        <v>149000</v>
      </c>
      <c r="J14" s="217">
        <f t="shared" si="2"/>
        <v>627000</v>
      </c>
      <c r="K14" s="184"/>
      <c r="L14" s="208">
        <v>2472000</v>
      </c>
      <c r="M14" s="208"/>
      <c r="N14" s="87">
        <f t="shared" si="1"/>
        <v>-527000</v>
      </c>
      <c r="O14" s="208"/>
      <c r="P14" s="208"/>
      <c r="Q14" s="208">
        <f t="shared" si="3"/>
        <v>1945000</v>
      </c>
      <c r="R14" s="244"/>
      <c r="S14" s="244"/>
      <c r="T14" s="245">
        <f t="shared" si="4"/>
        <v>2572000</v>
      </c>
      <c r="U14" s="95"/>
    </row>
    <row r="15" spans="1:21" ht="12.75" customHeight="1">
      <c r="A15" s="87" t="s">
        <v>5</v>
      </c>
      <c r="B15" s="257">
        <v>27198</v>
      </c>
      <c r="C15" s="207"/>
      <c r="D15" s="209">
        <v>675</v>
      </c>
      <c r="E15" s="323">
        <f t="shared" si="0"/>
        <v>27873</v>
      </c>
      <c r="F15" s="184">
        <v>951.14</v>
      </c>
      <c r="G15" s="269"/>
      <c r="H15" s="184">
        <v>204000</v>
      </c>
      <c r="I15" s="86">
        <v>848000</v>
      </c>
      <c r="J15" s="217">
        <f t="shared" si="2"/>
        <v>1052000</v>
      </c>
      <c r="K15" s="184"/>
      <c r="L15" s="208">
        <v>4405000</v>
      </c>
      <c r="M15" s="208"/>
      <c r="N15" s="87">
        <f t="shared" si="1"/>
        <v>-890000</v>
      </c>
      <c r="O15" s="208"/>
      <c r="P15" s="208"/>
      <c r="Q15" s="208">
        <f t="shared" si="3"/>
        <v>3515000</v>
      </c>
      <c r="R15" s="244"/>
      <c r="S15" s="244"/>
      <c r="T15" s="245">
        <f t="shared" si="4"/>
        <v>4567000</v>
      </c>
      <c r="U15" s="95"/>
    </row>
    <row r="16" spans="1:21" ht="12.75" customHeight="1">
      <c r="A16" s="87" t="s">
        <v>6</v>
      </c>
      <c r="B16" s="257">
        <v>7151</v>
      </c>
      <c r="C16" s="207"/>
      <c r="D16" s="209">
        <v>100</v>
      </c>
      <c r="E16" s="323">
        <f t="shared" si="0"/>
        <v>7251</v>
      </c>
      <c r="F16" s="184">
        <v>201.66</v>
      </c>
      <c r="G16" s="269"/>
      <c r="H16" s="184">
        <v>436000</v>
      </c>
      <c r="I16" s="86">
        <v>70000</v>
      </c>
      <c r="J16" s="217">
        <f t="shared" si="2"/>
        <v>506000</v>
      </c>
      <c r="K16" s="184"/>
      <c r="L16" s="208">
        <v>579000</v>
      </c>
      <c r="M16" s="208"/>
      <c r="N16" s="87">
        <f t="shared" si="1"/>
        <v>-132000</v>
      </c>
      <c r="O16" s="208"/>
      <c r="P16" s="208"/>
      <c r="Q16" s="208">
        <f t="shared" si="3"/>
        <v>447000</v>
      </c>
      <c r="R16" s="244"/>
      <c r="S16" s="244"/>
      <c r="T16" s="245">
        <f t="shared" si="4"/>
        <v>953000</v>
      </c>
      <c r="U16" s="95"/>
    </row>
    <row r="17" spans="1:21" ht="12.75" customHeight="1">
      <c r="A17" s="87" t="s">
        <v>7</v>
      </c>
      <c r="B17" s="257">
        <v>27198</v>
      </c>
      <c r="C17" s="207"/>
      <c r="D17" s="209">
        <v>650</v>
      </c>
      <c r="E17" s="323">
        <f t="shared" si="0"/>
        <v>27848</v>
      </c>
      <c r="F17" s="184">
        <v>1067.78</v>
      </c>
      <c r="G17" s="269"/>
      <c r="H17" s="184">
        <v>2916000</v>
      </c>
      <c r="I17" s="86">
        <v>451000</v>
      </c>
      <c r="J17" s="217">
        <f t="shared" si="2"/>
        <v>3367000</v>
      </c>
      <c r="K17" s="184"/>
      <c r="L17" s="208">
        <v>4244000</v>
      </c>
      <c r="M17" s="208"/>
      <c r="N17" s="87">
        <f t="shared" si="1"/>
        <v>-857000</v>
      </c>
      <c r="O17" s="208"/>
      <c r="P17" s="208"/>
      <c r="Q17" s="208">
        <f t="shared" si="3"/>
        <v>3387000</v>
      </c>
      <c r="R17" s="244"/>
      <c r="S17" s="244"/>
      <c r="T17" s="245">
        <f t="shared" si="4"/>
        <v>6754000</v>
      </c>
      <c r="U17" s="95"/>
    </row>
    <row r="18" spans="1:21" s="55" customFormat="1" ht="12.75" customHeight="1">
      <c r="A18" s="87" t="s">
        <v>8</v>
      </c>
      <c r="B18" s="257">
        <v>16546</v>
      </c>
      <c r="C18" s="207"/>
      <c r="D18" s="209">
        <v>385</v>
      </c>
      <c r="E18" s="323">
        <f t="shared" si="0"/>
        <v>16931</v>
      </c>
      <c r="F18" s="184">
        <v>515.7</v>
      </c>
      <c r="G18" s="269"/>
      <c r="H18" s="184">
        <v>-560000</v>
      </c>
      <c r="I18" s="86">
        <v>324000</v>
      </c>
      <c r="J18" s="217">
        <f t="shared" si="2"/>
        <v>-236000</v>
      </c>
      <c r="K18" s="184"/>
      <c r="L18" s="208">
        <v>2617000</v>
      </c>
      <c r="M18" s="208"/>
      <c r="N18" s="87">
        <f t="shared" si="1"/>
        <v>-507000</v>
      </c>
      <c r="O18" s="208"/>
      <c r="P18" s="208"/>
      <c r="Q18" s="208">
        <f t="shared" si="3"/>
        <v>2110000</v>
      </c>
      <c r="R18" s="244"/>
      <c r="S18" s="244"/>
      <c r="T18" s="245">
        <f t="shared" si="4"/>
        <v>1874000</v>
      </c>
      <c r="U18" s="95"/>
    </row>
    <row r="19" spans="1:21" s="55" customFormat="1" ht="12.75" customHeight="1">
      <c r="A19" s="87" t="s">
        <v>9</v>
      </c>
      <c r="B19" s="257">
        <v>1106</v>
      </c>
      <c r="C19" s="207">
        <v>68</v>
      </c>
      <c r="D19" s="209">
        <v>127</v>
      </c>
      <c r="E19" s="323">
        <f t="shared" si="0"/>
        <v>1301</v>
      </c>
      <c r="F19" s="184">
        <v>34.93</v>
      </c>
      <c r="G19" s="269">
        <v>286000</v>
      </c>
      <c r="H19" s="184">
        <v>64000</v>
      </c>
      <c r="I19" s="86">
        <v>20000</v>
      </c>
      <c r="J19" s="217">
        <f t="shared" si="2"/>
        <v>84000</v>
      </c>
      <c r="K19" s="184"/>
      <c r="L19" s="208">
        <v>553000</v>
      </c>
      <c r="M19" s="208"/>
      <c r="N19" s="87">
        <f t="shared" si="1"/>
        <v>-167000</v>
      </c>
      <c r="O19" s="208"/>
      <c r="P19" s="208"/>
      <c r="Q19" s="208">
        <f t="shared" si="3"/>
        <v>386000</v>
      </c>
      <c r="R19" s="244"/>
      <c r="S19" s="244"/>
      <c r="T19" s="245">
        <f t="shared" si="4"/>
        <v>756000</v>
      </c>
      <c r="U19" s="95"/>
    </row>
    <row r="20" spans="1:21" s="55" customFormat="1" ht="12.75" customHeight="1">
      <c r="A20" s="87" t="s">
        <v>10</v>
      </c>
      <c r="B20" s="257">
        <v>4617</v>
      </c>
      <c r="C20" s="207"/>
      <c r="D20" s="209">
        <v>400</v>
      </c>
      <c r="E20" s="323">
        <f t="shared" si="0"/>
        <v>5017</v>
      </c>
      <c r="F20" s="184">
        <v>90.74</v>
      </c>
      <c r="G20" s="269"/>
      <c r="H20" s="184">
        <v>1305000</v>
      </c>
      <c r="I20" s="86">
        <v>14000</v>
      </c>
      <c r="J20" s="217">
        <f t="shared" si="2"/>
        <v>1319000</v>
      </c>
      <c r="K20" s="184"/>
      <c r="L20" s="208">
        <v>2294000</v>
      </c>
      <c r="M20" s="208"/>
      <c r="N20" s="87">
        <f t="shared" si="1"/>
        <v>-527000</v>
      </c>
      <c r="O20" s="208"/>
      <c r="P20" s="208"/>
      <c r="Q20" s="208">
        <f t="shared" si="3"/>
        <v>1767000</v>
      </c>
      <c r="R20" s="244"/>
      <c r="S20" s="244"/>
      <c r="T20" s="245">
        <f t="shared" si="4"/>
        <v>3086000</v>
      </c>
      <c r="U20" s="95"/>
    </row>
    <row r="21" spans="1:21" s="55" customFormat="1" ht="12.75" customHeight="1">
      <c r="A21" s="87" t="s">
        <v>11</v>
      </c>
      <c r="B21" s="257">
        <v>25573</v>
      </c>
      <c r="C21" s="207"/>
      <c r="D21" s="209">
        <v>570</v>
      </c>
      <c r="E21" s="323">
        <f t="shared" si="0"/>
        <v>26143</v>
      </c>
      <c r="F21" s="184">
        <v>1763.86</v>
      </c>
      <c r="G21" s="269"/>
      <c r="H21" s="184">
        <v>-4055000</v>
      </c>
      <c r="I21" s="86">
        <v>431000</v>
      </c>
      <c r="J21" s="217">
        <f t="shared" si="2"/>
        <v>-3624000</v>
      </c>
      <c r="K21" s="184"/>
      <c r="L21" s="208">
        <v>3726000</v>
      </c>
      <c r="M21" s="208"/>
      <c r="N21" s="87">
        <f t="shared" si="1"/>
        <v>-751000</v>
      </c>
      <c r="O21" s="208"/>
      <c r="P21" s="208"/>
      <c r="Q21" s="208">
        <f t="shared" si="3"/>
        <v>2975000</v>
      </c>
      <c r="R21" s="244"/>
      <c r="S21" s="244"/>
      <c r="T21" s="245">
        <f t="shared" si="4"/>
        <v>-649000</v>
      </c>
      <c r="U21" s="95"/>
    </row>
    <row r="22" spans="1:21" s="55" customFormat="1" ht="12.75" customHeight="1">
      <c r="A22" s="87" t="s">
        <v>12</v>
      </c>
      <c r="B22" s="257">
        <v>17356</v>
      </c>
      <c r="C22" s="207"/>
      <c r="D22" s="209">
        <v>400</v>
      </c>
      <c r="E22" s="323">
        <f t="shared" si="0"/>
        <v>17756</v>
      </c>
      <c r="F22" s="184">
        <v>579.33</v>
      </c>
      <c r="G22" s="269"/>
      <c r="H22" s="184">
        <v>158000</v>
      </c>
      <c r="I22" s="86">
        <v>300000</v>
      </c>
      <c r="J22" s="217">
        <f t="shared" si="2"/>
        <v>458000</v>
      </c>
      <c r="K22" s="184"/>
      <c r="L22" s="208">
        <v>2493000</v>
      </c>
      <c r="M22" s="208"/>
      <c r="N22" s="87">
        <f t="shared" si="1"/>
        <v>-527000</v>
      </c>
      <c r="O22" s="208"/>
      <c r="P22" s="208"/>
      <c r="Q22" s="208">
        <f t="shared" si="3"/>
        <v>1966000</v>
      </c>
      <c r="R22" s="244"/>
      <c r="S22" s="244"/>
      <c r="T22" s="245">
        <f t="shared" si="4"/>
        <v>2424000</v>
      </c>
      <c r="U22" s="95"/>
    </row>
    <row r="23" spans="1:21" s="55" customFormat="1" ht="12.75" customHeight="1">
      <c r="A23" s="87" t="s">
        <v>13</v>
      </c>
      <c r="B23" s="257">
        <v>21885</v>
      </c>
      <c r="C23" s="207"/>
      <c r="D23" s="209">
        <v>200</v>
      </c>
      <c r="E23" s="323">
        <f t="shared" si="0"/>
        <v>22085</v>
      </c>
      <c r="F23" s="184">
        <v>330.93</v>
      </c>
      <c r="G23" s="269"/>
      <c r="H23" s="184">
        <v>2839000</v>
      </c>
      <c r="I23" s="86">
        <v>-110000</v>
      </c>
      <c r="J23" s="217">
        <f t="shared" si="2"/>
        <v>2729000</v>
      </c>
      <c r="K23" s="184"/>
      <c r="L23" s="208">
        <v>1308000</v>
      </c>
      <c r="M23" s="208"/>
      <c r="N23" s="87">
        <f t="shared" si="1"/>
        <v>-264000</v>
      </c>
      <c r="O23" s="208"/>
      <c r="P23" s="208"/>
      <c r="Q23" s="208">
        <f t="shared" si="3"/>
        <v>1044000</v>
      </c>
      <c r="R23" s="244"/>
      <c r="S23" s="244"/>
      <c r="T23" s="245">
        <f t="shared" si="4"/>
        <v>3773000</v>
      </c>
      <c r="U23" s="95"/>
    </row>
    <row r="24" spans="1:21" s="55" customFormat="1" ht="12.75" customHeight="1">
      <c r="A24" s="87" t="s">
        <v>14</v>
      </c>
      <c r="B24" s="257">
        <v>14016</v>
      </c>
      <c r="C24" s="207">
        <v>100</v>
      </c>
      <c r="D24" s="209">
        <v>500</v>
      </c>
      <c r="E24" s="323">
        <f t="shared" si="0"/>
        <v>14616</v>
      </c>
      <c r="F24" s="184">
        <v>832.65</v>
      </c>
      <c r="G24" s="269">
        <v>628000</v>
      </c>
      <c r="H24" s="184">
        <v>624000</v>
      </c>
      <c r="I24" s="86">
        <v>1101000</v>
      </c>
      <c r="J24" s="217">
        <f t="shared" si="2"/>
        <v>1725000</v>
      </c>
      <c r="K24" s="184"/>
      <c r="L24" s="208">
        <v>3170000</v>
      </c>
      <c r="M24" s="208"/>
      <c r="N24" s="87">
        <f t="shared" si="1"/>
        <v>-659000</v>
      </c>
      <c r="O24" s="208"/>
      <c r="P24" s="208"/>
      <c r="Q24" s="208">
        <f t="shared" si="3"/>
        <v>2511000</v>
      </c>
      <c r="R24" s="244"/>
      <c r="S24" s="244"/>
      <c r="T24" s="245">
        <f t="shared" si="4"/>
        <v>4864000</v>
      </c>
      <c r="U24" s="95"/>
    </row>
    <row r="25" spans="1:21" s="55" customFormat="1" ht="12.75" customHeight="1">
      <c r="A25" s="87" t="s">
        <v>15</v>
      </c>
      <c r="B25" s="257">
        <v>26225</v>
      </c>
      <c r="C25" s="207"/>
      <c r="D25" s="209">
        <v>175</v>
      </c>
      <c r="E25" s="323">
        <f t="shared" si="0"/>
        <v>26400</v>
      </c>
      <c r="F25" s="184">
        <v>2072.77</v>
      </c>
      <c r="G25" s="269"/>
      <c r="H25" s="184">
        <v>-1779000</v>
      </c>
      <c r="I25" s="86">
        <v>1925000</v>
      </c>
      <c r="J25" s="217">
        <f t="shared" si="2"/>
        <v>146000</v>
      </c>
      <c r="K25" s="184"/>
      <c r="L25" s="208">
        <v>1099000</v>
      </c>
      <c r="M25" s="208"/>
      <c r="N25" s="87">
        <f t="shared" si="1"/>
        <v>-231000</v>
      </c>
      <c r="O25" s="208"/>
      <c r="P25" s="208"/>
      <c r="Q25" s="208">
        <f t="shared" si="3"/>
        <v>868000</v>
      </c>
      <c r="R25" s="244"/>
      <c r="S25" s="244"/>
      <c r="T25" s="245">
        <f t="shared" si="4"/>
        <v>1014000</v>
      </c>
      <c r="U25" s="95"/>
    </row>
    <row r="26" spans="1:21" s="55" customFormat="1" ht="12.75" customHeight="1">
      <c r="A26" s="87" t="s">
        <v>16</v>
      </c>
      <c r="B26" s="257">
        <v>23074</v>
      </c>
      <c r="C26" s="207"/>
      <c r="D26" s="209">
        <v>277</v>
      </c>
      <c r="E26" s="323">
        <f t="shared" si="0"/>
        <v>23351</v>
      </c>
      <c r="F26" s="184">
        <v>1534.83</v>
      </c>
      <c r="G26" s="269"/>
      <c r="H26" s="184">
        <v>-702000</v>
      </c>
      <c r="I26" s="86">
        <v>-128000</v>
      </c>
      <c r="J26" s="217">
        <f t="shared" si="2"/>
        <v>-830000</v>
      </c>
      <c r="K26" s="184"/>
      <c r="L26" s="208">
        <v>1749000</v>
      </c>
      <c r="M26" s="208"/>
      <c r="N26" s="87">
        <f t="shared" si="1"/>
        <v>-365000</v>
      </c>
      <c r="O26" s="208"/>
      <c r="P26" s="208"/>
      <c r="Q26" s="208">
        <f t="shared" si="3"/>
        <v>1384000</v>
      </c>
      <c r="R26" s="244"/>
      <c r="S26" s="244"/>
      <c r="T26" s="245">
        <f t="shared" si="4"/>
        <v>554000</v>
      </c>
      <c r="U26" s="95"/>
    </row>
    <row r="27" spans="1:21" s="55" customFormat="1" ht="12.75" customHeight="1">
      <c r="A27" s="87" t="s">
        <v>17</v>
      </c>
      <c r="B27" s="257">
        <v>21298</v>
      </c>
      <c r="C27" s="207"/>
      <c r="D27" s="209">
        <v>450</v>
      </c>
      <c r="E27" s="323">
        <f t="shared" si="0"/>
        <v>21748</v>
      </c>
      <c r="F27" s="184">
        <v>1394.85</v>
      </c>
      <c r="G27" s="269"/>
      <c r="H27" s="184">
        <v>-123000</v>
      </c>
      <c r="I27" s="86">
        <v>987000</v>
      </c>
      <c r="J27" s="217">
        <f t="shared" si="2"/>
        <v>864000</v>
      </c>
      <c r="K27" s="184"/>
      <c r="L27" s="208">
        <v>2946000</v>
      </c>
      <c r="M27" s="208"/>
      <c r="N27" s="87">
        <f t="shared" si="1"/>
        <v>-593000</v>
      </c>
      <c r="O27" s="208"/>
      <c r="P27" s="208"/>
      <c r="Q27" s="208">
        <f t="shared" si="3"/>
        <v>2353000</v>
      </c>
      <c r="R27" s="244"/>
      <c r="S27" s="244"/>
      <c r="T27" s="245">
        <f t="shared" si="4"/>
        <v>3217000</v>
      </c>
      <c r="U27" s="95"/>
    </row>
    <row r="28" spans="1:21" s="55" customFormat="1" ht="12.75" customHeight="1">
      <c r="A28" s="87" t="s">
        <v>18</v>
      </c>
      <c r="B28" s="257">
        <v>16192</v>
      </c>
      <c r="C28" s="207"/>
      <c r="D28" s="209">
        <v>325</v>
      </c>
      <c r="E28" s="323">
        <f t="shared" si="0"/>
        <v>16517</v>
      </c>
      <c r="F28" s="184">
        <v>1557.82</v>
      </c>
      <c r="G28" s="269"/>
      <c r="H28" s="184">
        <v>-272000</v>
      </c>
      <c r="I28" s="86">
        <v>1412000</v>
      </c>
      <c r="J28" s="217">
        <f t="shared" si="2"/>
        <v>1140000</v>
      </c>
      <c r="K28" s="184"/>
      <c r="L28" s="208">
        <v>1859000</v>
      </c>
      <c r="M28" s="208"/>
      <c r="N28" s="87">
        <f t="shared" si="1"/>
        <v>-428000</v>
      </c>
      <c r="O28" s="208"/>
      <c r="P28" s="208"/>
      <c r="Q28" s="208">
        <f t="shared" si="3"/>
        <v>1431000</v>
      </c>
      <c r="R28" s="244"/>
      <c r="S28" s="244"/>
      <c r="T28" s="245">
        <f t="shared" si="4"/>
        <v>2571000</v>
      </c>
      <c r="U28" s="95"/>
    </row>
    <row r="29" spans="1:21" s="55" customFormat="1" ht="12.75" customHeight="1">
      <c r="A29" s="87" t="s">
        <v>19</v>
      </c>
      <c r="B29" s="257">
        <v>7741</v>
      </c>
      <c r="C29" s="207"/>
      <c r="D29" s="209">
        <v>650</v>
      </c>
      <c r="E29" s="323">
        <f t="shared" si="0"/>
        <v>8391</v>
      </c>
      <c r="F29" s="184">
        <v>167.56</v>
      </c>
      <c r="G29" s="269"/>
      <c r="H29" s="184">
        <v>-1736000</v>
      </c>
      <c r="I29" s="86">
        <v>225000</v>
      </c>
      <c r="J29" s="217">
        <f t="shared" si="2"/>
        <v>-1511000</v>
      </c>
      <c r="K29" s="184"/>
      <c r="L29" s="208">
        <v>4288000</v>
      </c>
      <c r="M29" s="208"/>
      <c r="N29" s="87">
        <f t="shared" si="1"/>
        <v>-857000</v>
      </c>
      <c r="O29" s="208"/>
      <c r="P29" s="208"/>
      <c r="Q29" s="208">
        <f t="shared" si="3"/>
        <v>3431000</v>
      </c>
      <c r="R29" s="244"/>
      <c r="S29" s="244"/>
      <c r="T29" s="245">
        <f t="shared" si="4"/>
        <v>1920000</v>
      </c>
      <c r="U29" s="95"/>
    </row>
    <row r="30" spans="1:21" s="55" customFormat="1" ht="12.75" customHeight="1">
      <c r="A30" s="87" t="s">
        <v>20</v>
      </c>
      <c r="B30" s="257">
        <v>7540</v>
      </c>
      <c r="C30" s="207"/>
      <c r="D30" s="209">
        <v>270</v>
      </c>
      <c r="E30" s="323">
        <f t="shared" si="0"/>
        <v>7810</v>
      </c>
      <c r="F30" s="184">
        <v>76.93</v>
      </c>
      <c r="G30" s="269"/>
      <c r="H30" s="184">
        <v>379000</v>
      </c>
      <c r="I30" s="86">
        <v>92000</v>
      </c>
      <c r="J30" s="217">
        <f t="shared" si="2"/>
        <v>471000</v>
      </c>
      <c r="K30" s="184"/>
      <c r="L30" s="208">
        <v>1614000</v>
      </c>
      <c r="M30" s="208"/>
      <c r="N30" s="87">
        <f t="shared" si="1"/>
        <v>-356000</v>
      </c>
      <c r="O30" s="208"/>
      <c r="P30" s="208"/>
      <c r="Q30" s="208">
        <f t="shared" si="3"/>
        <v>1258000</v>
      </c>
      <c r="R30" s="244"/>
      <c r="S30" s="244"/>
      <c r="T30" s="245">
        <f t="shared" si="4"/>
        <v>1729000</v>
      </c>
      <c r="U30" s="95"/>
    </row>
    <row r="31" spans="1:21" s="55" customFormat="1" ht="12.75" customHeight="1">
      <c r="A31" s="87" t="s">
        <v>21</v>
      </c>
      <c r="B31" s="257">
        <v>6877</v>
      </c>
      <c r="C31" s="207"/>
      <c r="D31" s="209">
        <v>200</v>
      </c>
      <c r="E31" s="323">
        <f t="shared" si="0"/>
        <v>7077</v>
      </c>
      <c r="F31" s="184">
        <v>79.59</v>
      </c>
      <c r="G31" s="269"/>
      <c r="H31" s="184">
        <v>7000</v>
      </c>
      <c r="I31" s="86">
        <v>-317000</v>
      </c>
      <c r="J31" s="217">
        <f t="shared" si="2"/>
        <v>-310000</v>
      </c>
      <c r="K31" s="184"/>
      <c r="L31" s="208">
        <v>1287000</v>
      </c>
      <c r="M31" s="208"/>
      <c r="N31" s="87">
        <f t="shared" si="1"/>
        <v>-264000</v>
      </c>
      <c r="O31" s="208"/>
      <c r="P31" s="208"/>
      <c r="Q31" s="208">
        <f t="shared" si="3"/>
        <v>1023000</v>
      </c>
      <c r="R31" s="244"/>
      <c r="S31" s="244"/>
      <c r="T31" s="245">
        <f t="shared" si="4"/>
        <v>713000</v>
      </c>
      <c r="U31" s="95"/>
    </row>
    <row r="32" spans="1:21" s="55" customFormat="1" ht="6" customHeight="1">
      <c r="A32" s="87"/>
      <c r="B32" s="243"/>
      <c r="C32" s="208"/>
      <c r="D32" s="86"/>
      <c r="F32" s="184"/>
      <c r="G32" s="269"/>
      <c r="H32" s="216"/>
      <c r="I32" s="204"/>
      <c r="J32" s="218"/>
      <c r="K32" s="193"/>
      <c r="L32" s="208"/>
      <c r="M32" s="208"/>
      <c r="N32" s="243"/>
      <c r="O32" s="208"/>
      <c r="P32" s="208"/>
      <c r="Q32" s="246"/>
      <c r="R32" s="246"/>
      <c r="S32" s="246"/>
      <c r="T32" s="247"/>
      <c r="U32" s="95"/>
    </row>
    <row r="33" spans="1:21" s="55" customFormat="1" ht="12.75">
      <c r="A33" s="114" t="s">
        <v>22</v>
      </c>
      <c r="B33" s="258">
        <f>SUM(B9:B31)</f>
        <v>335221</v>
      </c>
      <c r="C33" s="210">
        <f>SUM(C9:C32)</f>
        <v>1201</v>
      </c>
      <c r="D33" s="111">
        <f>SUM(D9:D31)</f>
        <v>8339</v>
      </c>
      <c r="E33" s="210">
        <f>SUM(E9:E32)</f>
        <v>344761</v>
      </c>
      <c r="F33" s="263">
        <f>SUM(F9:F31)</f>
        <v>15556.21</v>
      </c>
      <c r="G33" s="270">
        <f>SUM(G9:G32)</f>
        <v>7256000</v>
      </c>
      <c r="H33" s="233">
        <f>SUM(H9:H32)</f>
        <v>3106000</v>
      </c>
      <c r="I33" s="234">
        <f>SUM(I9:I32)</f>
        <v>8001000</v>
      </c>
      <c r="J33" s="219">
        <f>SUM(J9:J31)</f>
        <v>11107000</v>
      </c>
      <c r="K33" s="194"/>
      <c r="L33" s="234">
        <f>SUM(L9:L31)</f>
        <v>52622000</v>
      </c>
      <c r="M33" s="234"/>
      <c r="N33" s="248">
        <f>SUM(N9:N31)</f>
        <v>-10991000</v>
      </c>
      <c r="O33" s="234"/>
      <c r="P33" s="234"/>
      <c r="Q33" s="234">
        <f>SUM(Q9:Q31)</f>
        <v>41631000</v>
      </c>
      <c r="R33" s="234"/>
      <c r="S33" s="234"/>
      <c r="T33" s="249">
        <f>SUM(T9:T31)</f>
        <v>59994000</v>
      </c>
      <c r="U33" s="95"/>
    </row>
    <row r="34" spans="1:21" s="55" customFormat="1" ht="6" customHeight="1">
      <c r="A34" s="115"/>
      <c r="B34" s="243"/>
      <c r="C34" s="208"/>
      <c r="D34" s="86"/>
      <c r="F34" s="184"/>
      <c r="G34" s="269"/>
      <c r="H34" s="214"/>
      <c r="I34" s="203"/>
      <c r="J34" s="218"/>
      <c r="K34" s="193"/>
      <c r="L34" s="239"/>
      <c r="M34" s="239"/>
      <c r="N34" s="240"/>
      <c r="O34" s="239"/>
      <c r="P34" s="239"/>
      <c r="Q34" s="246"/>
      <c r="R34" s="246"/>
      <c r="S34" s="246"/>
      <c r="T34" s="247"/>
      <c r="U34" s="95"/>
    </row>
    <row r="35" spans="1:21" s="55" customFormat="1" ht="12.75" customHeight="1">
      <c r="A35" s="97" t="s">
        <v>23</v>
      </c>
      <c r="B35" s="243">
        <v>0</v>
      </c>
      <c r="C35" s="208"/>
      <c r="D35" s="260">
        <f>E35-B35</f>
        <v>0</v>
      </c>
      <c r="E35" s="211">
        <f>B35</f>
        <v>0</v>
      </c>
      <c r="F35" s="184">
        <v>0</v>
      </c>
      <c r="G35" s="269"/>
      <c r="H35" s="184">
        <v>0</v>
      </c>
      <c r="I35" s="86">
        <v>0</v>
      </c>
      <c r="J35" s="217">
        <f>H35+I35</f>
        <v>0</v>
      </c>
      <c r="K35" s="184"/>
      <c r="L35" s="86">
        <v>0</v>
      </c>
      <c r="M35" s="208"/>
      <c r="N35" s="87">
        <f>ROUND(D35*-1318/1000,0)*1000</f>
        <v>0</v>
      </c>
      <c r="O35" s="208"/>
      <c r="P35" s="208"/>
      <c r="Q35" s="208">
        <f>L35+N35</f>
        <v>0</v>
      </c>
      <c r="R35" s="244"/>
      <c r="S35" s="244"/>
      <c r="T35" s="245">
        <f>G35+J35+Q35</f>
        <v>0</v>
      </c>
      <c r="U35" s="95"/>
    </row>
    <row r="36" spans="1:21" s="55" customFormat="1" ht="12.75" customHeight="1">
      <c r="A36" s="87" t="s">
        <v>29</v>
      </c>
      <c r="B36" s="243">
        <v>606</v>
      </c>
      <c r="C36" s="208"/>
      <c r="D36" s="260">
        <v>0</v>
      </c>
      <c r="E36" s="86">
        <v>606</v>
      </c>
      <c r="F36" s="184">
        <v>0</v>
      </c>
      <c r="G36" s="269"/>
      <c r="H36" s="184">
        <v>9000</v>
      </c>
      <c r="I36" s="86">
        <v>0</v>
      </c>
      <c r="J36" s="217">
        <f>H36+I36</f>
        <v>9000</v>
      </c>
      <c r="K36" s="184"/>
      <c r="L36" s="86">
        <v>0</v>
      </c>
      <c r="M36" s="208"/>
      <c r="N36" s="87">
        <f>ROUND(D36*-1318/1000,0)*1000</f>
        <v>0</v>
      </c>
      <c r="O36" s="208"/>
      <c r="P36" s="208"/>
      <c r="Q36" s="208">
        <f>L36+N36</f>
        <v>0</v>
      </c>
      <c r="R36" s="244"/>
      <c r="S36" s="244"/>
      <c r="T36" s="245">
        <f>G36+J36+Q36</f>
        <v>9000</v>
      </c>
      <c r="U36" s="95"/>
    </row>
    <row r="37" spans="1:21" s="55" customFormat="1" ht="12.75" customHeight="1">
      <c r="A37" s="87" t="s">
        <v>24</v>
      </c>
      <c r="B37" s="243">
        <v>632</v>
      </c>
      <c r="C37" s="208"/>
      <c r="D37" s="260">
        <v>0</v>
      </c>
      <c r="E37" s="86">
        <v>632</v>
      </c>
      <c r="F37" s="184">
        <v>9</v>
      </c>
      <c r="G37" s="269"/>
      <c r="H37" s="184">
        <v>147000</v>
      </c>
      <c r="I37" s="86">
        <v>20000</v>
      </c>
      <c r="J37" s="217">
        <f>H37+I37</f>
        <v>167000</v>
      </c>
      <c r="K37" s="184"/>
      <c r="L37" s="86">
        <v>0</v>
      </c>
      <c r="M37" s="208"/>
      <c r="N37" s="87">
        <f>ROUND(D37*-1318/1000,0)*1000</f>
        <v>0</v>
      </c>
      <c r="O37" s="208"/>
      <c r="P37" s="208"/>
      <c r="Q37" s="208">
        <f>L37+N37</f>
        <v>0</v>
      </c>
      <c r="R37" s="244"/>
      <c r="S37" s="244"/>
      <c r="T37" s="245">
        <f>G37+J37+Q37</f>
        <v>167000</v>
      </c>
      <c r="U37" s="95"/>
    </row>
    <row r="38" spans="1:21" s="55" customFormat="1" ht="12.75" customHeight="1">
      <c r="A38" s="87" t="s">
        <v>25</v>
      </c>
      <c r="B38" s="243">
        <v>51</v>
      </c>
      <c r="C38" s="208"/>
      <c r="D38" s="260">
        <v>0</v>
      </c>
      <c r="E38" s="86">
        <v>51</v>
      </c>
      <c r="F38" s="184">
        <v>2.4</v>
      </c>
      <c r="G38" s="269"/>
      <c r="H38" s="184">
        <v>-39000</v>
      </c>
      <c r="I38" s="86">
        <v>8000</v>
      </c>
      <c r="J38" s="217">
        <f>H38+I38</f>
        <v>-31000</v>
      </c>
      <c r="K38" s="184"/>
      <c r="L38" s="86">
        <v>0</v>
      </c>
      <c r="M38" s="208"/>
      <c r="N38" s="87">
        <f>ROUND(D38*-1318/1000,0)*1000</f>
        <v>0</v>
      </c>
      <c r="O38" s="208"/>
      <c r="P38" s="208"/>
      <c r="Q38" s="208">
        <f>L38+N38</f>
        <v>0</v>
      </c>
      <c r="R38" s="244"/>
      <c r="S38" s="244"/>
      <c r="T38" s="245">
        <f>G38+J38+Q38</f>
        <v>-31000</v>
      </c>
      <c r="U38" s="95"/>
    </row>
    <row r="39" spans="1:21" s="55" customFormat="1" ht="12.75" customHeight="1">
      <c r="A39" s="116" t="s">
        <v>26</v>
      </c>
      <c r="B39" s="243">
        <v>0</v>
      </c>
      <c r="C39" s="208"/>
      <c r="D39" s="260">
        <f>E39-B39</f>
        <v>0</v>
      </c>
      <c r="E39" s="211">
        <f>B39</f>
        <v>0</v>
      </c>
      <c r="F39" s="184">
        <v>0</v>
      </c>
      <c r="G39" s="269"/>
      <c r="H39" s="184">
        <v>0</v>
      </c>
      <c r="I39" s="86">
        <v>0</v>
      </c>
      <c r="J39" s="217">
        <f>H39+I39</f>
        <v>0</v>
      </c>
      <c r="K39" s="184"/>
      <c r="L39" s="86">
        <v>0</v>
      </c>
      <c r="M39" s="208"/>
      <c r="N39" s="87">
        <f>ROUND(D39*-1318/1000,0)*1000</f>
        <v>0</v>
      </c>
      <c r="O39" s="208"/>
      <c r="P39" s="208"/>
      <c r="Q39" s="208">
        <f>L39+N39</f>
        <v>0</v>
      </c>
      <c r="R39" s="244"/>
      <c r="S39" s="244"/>
      <c r="T39" s="245">
        <f>G39+J39+Q39</f>
        <v>0</v>
      </c>
      <c r="U39" s="95"/>
    </row>
    <row r="40" spans="1:21" s="55" customFormat="1" ht="6" customHeight="1">
      <c r="A40" s="116"/>
      <c r="B40" s="243"/>
      <c r="C40" s="208"/>
      <c r="D40" s="86"/>
      <c r="F40" s="184"/>
      <c r="G40" s="269"/>
      <c r="H40" s="235"/>
      <c r="I40" s="208"/>
      <c r="J40" s="217"/>
      <c r="K40" s="184"/>
      <c r="L40" s="208"/>
      <c r="M40" s="208"/>
      <c r="N40" s="243"/>
      <c r="O40" s="208"/>
      <c r="P40" s="208"/>
      <c r="Q40" s="246"/>
      <c r="R40" s="246"/>
      <c r="S40" s="246"/>
      <c r="T40" s="245"/>
      <c r="U40" s="95"/>
    </row>
    <row r="41" spans="1:21" s="55" customFormat="1" ht="6" customHeight="1">
      <c r="A41" s="116"/>
      <c r="B41" s="243"/>
      <c r="C41" s="208"/>
      <c r="D41" s="86"/>
      <c r="F41" s="184"/>
      <c r="G41" s="269"/>
      <c r="H41" s="235"/>
      <c r="I41" s="208"/>
      <c r="J41" s="217"/>
      <c r="K41" s="195"/>
      <c r="L41" s="250"/>
      <c r="M41" s="250"/>
      <c r="N41" s="251"/>
      <c r="O41" s="250"/>
      <c r="P41" s="250"/>
      <c r="Q41" s="252"/>
      <c r="R41" s="252"/>
      <c r="S41" s="252"/>
      <c r="T41" s="253"/>
      <c r="U41" s="95"/>
    </row>
    <row r="42" spans="1:21" s="55" customFormat="1" ht="15.75" customHeight="1" thickBot="1">
      <c r="A42" s="98" t="s">
        <v>32</v>
      </c>
      <c r="B42" s="259">
        <f aca="true" t="shared" si="5" ref="B42:J42">SUM(B33:B39)</f>
        <v>336510</v>
      </c>
      <c r="C42" s="212">
        <f t="shared" si="5"/>
        <v>1201</v>
      </c>
      <c r="D42" s="112">
        <f t="shared" si="5"/>
        <v>8339</v>
      </c>
      <c r="E42" s="212">
        <f t="shared" si="5"/>
        <v>346050</v>
      </c>
      <c r="F42" s="264">
        <f t="shared" si="5"/>
        <v>15567.609999999999</v>
      </c>
      <c r="G42" s="271">
        <f t="shared" si="5"/>
        <v>7256000</v>
      </c>
      <c r="H42" s="236">
        <f t="shared" si="5"/>
        <v>3223000</v>
      </c>
      <c r="I42" s="237">
        <f t="shared" si="5"/>
        <v>8029000</v>
      </c>
      <c r="J42" s="220">
        <f t="shared" si="5"/>
        <v>11252000</v>
      </c>
      <c r="K42" s="196"/>
      <c r="L42" s="237">
        <f>SUM(L33:L39)</f>
        <v>52622000</v>
      </c>
      <c r="M42" s="237"/>
      <c r="N42" s="254">
        <f>SUM(N33:N39)</f>
        <v>-10991000</v>
      </c>
      <c r="O42" s="255"/>
      <c r="P42" s="255"/>
      <c r="Q42" s="237">
        <f>SUM(Q33:Q39)</f>
        <v>41631000</v>
      </c>
      <c r="R42" s="255"/>
      <c r="S42" s="255"/>
      <c r="T42" s="256">
        <f>SUM(T33:T39)</f>
        <v>60139000</v>
      </c>
      <c r="U42" s="95"/>
    </row>
    <row r="43" spans="8:9" ht="6" customHeight="1">
      <c r="H43" s="238"/>
      <c r="I43" s="238"/>
    </row>
    <row r="44" spans="1:20" ht="16.5">
      <c r="A44" s="54" t="s">
        <v>130</v>
      </c>
      <c r="B44" s="54"/>
      <c r="C44" s="54"/>
      <c r="H44" s="54"/>
      <c r="I44" s="54"/>
      <c r="J44" s="55"/>
      <c r="K44" s="55"/>
      <c r="L44" s="186"/>
      <c r="M44" s="186"/>
      <c r="N44" s="186"/>
      <c r="O44" s="55"/>
      <c r="P44" s="55"/>
      <c r="T44" s="53"/>
    </row>
    <row r="45" spans="1:16" s="56" customFormat="1" ht="16.5">
      <c r="A45" s="54" t="s">
        <v>137</v>
      </c>
      <c r="B45" s="54"/>
      <c r="C45" s="54"/>
      <c r="H45" s="54"/>
      <c r="I45" s="54"/>
      <c r="J45" s="57"/>
      <c r="K45" s="57"/>
      <c r="L45" s="57"/>
      <c r="M45" s="57"/>
      <c r="N45" s="57"/>
      <c r="O45" s="57"/>
      <c r="P45" s="57"/>
    </row>
    <row r="46" spans="10:16" s="56" customFormat="1" ht="16.5" customHeight="1">
      <c r="J46" s="58"/>
      <c r="K46" s="58"/>
      <c r="L46" s="58"/>
      <c r="M46" s="58"/>
      <c r="N46" s="58"/>
      <c r="O46" s="58"/>
      <c r="P46" s="58"/>
    </row>
    <row r="47" spans="10:16" s="56" customFormat="1" ht="16.5" customHeight="1">
      <c r="J47" s="57"/>
      <c r="K47" s="57"/>
      <c r="L47" s="57"/>
      <c r="M47" s="57"/>
      <c r="N47" s="57"/>
      <c r="O47" s="57"/>
      <c r="P47" s="57"/>
    </row>
    <row r="48" s="59" customFormat="1" ht="18.75" customHeight="1"/>
    <row r="49" spans="2:19" s="59" customFormat="1" ht="18.75" customHeight="1">
      <c r="B49" s="60"/>
      <c r="C49" s="60"/>
      <c r="D49" s="60"/>
      <c r="E49" s="60"/>
      <c r="F49" s="60"/>
      <c r="G49" s="60"/>
      <c r="H49" s="60"/>
      <c r="I49" s="60"/>
      <c r="J49" s="60"/>
      <c r="K49" s="60"/>
      <c r="L49" s="60"/>
      <c r="M49" s="60"/>
      <c r="N49" s="60"/>
      <c r="O49" s="60"/>
      <c r="P49" s="60"/>
      <c r="Q49" s="60"/>
      <c r="R49" s="60"/>
      <c r="S49" s="60"/>
    </row>
    <row r="51" spans="2:16" ht="15">
      <c r="B51" s="53"/>
      <c r="C51" s="53"/>
      <c r="D51" s="53"/>
      <c r="E51" s="53"/>
      <c r="F51" s="53"/>
      <c r="G51" s="53"/>
      <c r="H51" s="53"/>
      <c r="I51" s="53"/>
      <c r="J51" s="53"/>
      <c r="K51" s="53"/>
      <c r="L51" s="53"/>
      <c r="M51" s="53"/>
      <c r="N51" s="53"/>
      <c r="O51" s="53"/>
      <c r="P51" s="53"/>
    </row>
  </sheetData>
  <sheetProtection/>
  <mergeCells count="8">
    <mergeCell ref="B4:F4"/>
    <mergeCell ref="N6:N7"/>
    <mergeCell ref="B6:E6"/>
    <mergeCell ref="H5:J5"/>
    <mergeCell ref="N4:T4"/>
    <mergeCell ref="K5:M5"/>
    <mergeCell ref="P5:R5"/>
    <mergeCell ref="G4:L4"/>
  </mergeCells>
  <printOptions horizontalCentered="1"/>
  <pageMargins left="0.25" right="0.25" top="0.5" bottom="0.25" header="0.5" footer="0.5"/>
  <pageSetup fitToHeight="1" fitToWidth="1" horizontalDpi="600" verticalDpi="600" orientation="landscape" paperSize="5" scale="84" r:id="rId1"/>
</worksheet>
</file>

<file path=xl/worksheets/sheet5.xml><?xml version="1.0" encoding="utf-8"?>
<worksheet xmlns="http://schemas.openxmlformats.org/spreadsheetml/2006/main" xmlns:r="http://schemas.openxmlformats.org/officeDocument/2006/relationships">
  <sheetPr>
    <pageSetUpPr fitToPage="1"/>
  </sheetPr>
  <dimension ref="A1:R36"/>
  <sheetViews>
    <sheetView zoomScalePageLayoutView="0" workbookViewId="0" topLeftCell="A1">
      <pane xSplit="2" ySplit="7" topLeftCell="C8" activePane="bottomRight" state="frozen"/>
      <selection pane="topLeft" activeCell="P9" sqref="P9"/>
      <selection pane="topRight" activeCell="P9" sqref="P9"/>
      <selection pane="bottomLeft" activeCell="P9" sqref="P9"/>
      <selection pane="bottomRight" activeCell="B3" sqref="B3"/>
    </sheetView>
  </sheetViews>
  <sheetFormatPr defaultColWidth="10" defaultRowHeight="12.75"/>
  <cols>
    <col min="1" max="1" width="1.5" style="4" customWidth="1"/>
    <col min="2" max="2" width="21.83203125" style="3" customWidth="1"/>
    <col min="3" max="3" width="14.83203125" style="3" customWidth="1"/>
    <col min="4" max="4" width="10.83203125" style="3" customWidth="1"/>
    <col min="5" max="5" width="14.83203125" style="3" customWidth="1"/>
    <col min="6" max="6" width="10.83203125" style="4" customWidth="1"/>
    <col min="7" max="7" width="14.83203125" style="3" customWidth="1"/>
    <col min="8" max="8" width="10.83203125" style="3" customWidth="1"/>
    <col min="9" max="9" width="14.83203125" style="3" customWidth="1"/>
    <col min="10" max="10" width="10.83203125" style="3" customWidth="1"/>
    <col min="11" max="11" width="3.83203125" style="3" customWidth="1"/>
    <col min="12" max="12" width="12.83203125" style="3" customWidth="1"/>
    <col min="13" max="13" width="3.83203125" style="3" customWidth="1"/>
    <col min="14" max="14" width="2.33203125" style="3" customWidth="1"/>
    <col min="15" max="15" width="15.16015625" style="3" customWidth="1"/>
    <col min="16" max="16" width="13.33203125" style="3" customWidth="1"/>
    <col min="17" max="17" width="11.16015625" style="3" bestFit="1" customWidth="1"/>
    <col min="18" max="16384" width="10" style="3" customWidth="1"/>
  </cols>
  <sheetData>
    <row r="1" spans="1:12" ht="18.75" customHeight="1">
      <c r="A1" s="2" t="s">
        <v>168</v>
      </c>
      <c r="G1" s="103"/>
      <c r="H1" s="103"/>
      <c r="I1" s="104"/>
      <c r="J1" s="105"/>
      <c r="K1" s="103"/>
      <c r="L1" s="103"/>
    </row>
    <row r="2" spans="2:12" ht="15.75" customHeight="1">
      <c r="B2" s="104"/>
      <c r="C2" s="104"/>
      <c r="D2" s="202"/>
      <c r="G2" s="200"/>
      <c r="H2" s="201"/>
      <c r="J2" s="200"/>
      <c r="K2" s="200"/>
      <c r="L2" s="199"/>
    </row>
    <row r="3" spans="3:12" ht="14.25" customHeight="1">
      <c r="C3" s="5">
        <v>-1</v>
      </c>
      <c r="D3" s="5"/>
      <c r="E3" s="5"/>
      <c r="F3" s="5"/>
      <c r="G3" s="5"/>
      <c r="H3" s="5"/>
      <c r="I3" s="5">
        <v>-2</v>
      </c>
      <c r="L3" s="5">
        <v>-3</v>
      </c>
    </row>
    <row r="4" spans="1:14" ht="14.25">
      <c r="A4" s="6"/>
      <c r="B4" s="7"/>
      <c r="C4" s="93"/>
      <c r="D4" s="94"/>
      <c r="E4" s="460" t="s">
        <v>86</v>
      </c>
      <c r="F4" s="461"/>
      <c r="G4" s="461"/>
      <c r="H4" s="461"/>
      <c r="I4" s="461"/>
      <c r="J4" s="461"/>
      <c r="K4" s="461"/>
      <c r="L4" s="461"/>
      <c r="M4" s="462"/>
      <c r="N4" s="29"/>
    </row>
    <row r="5" spans="1:18" s="9" customFormat="1" ht="74.25" customHeight="1" thickBot="1">
      <c r="A5" s="197"/>
      <c r="B5" s="8" t="s">
        <v>30</v>
      </c>
      <c r="C5" s="463" t="s">
        <v>85</v>
      </c>
      <c r="D5" s="464"/>
      <c r="E5" s="465" t="s">
        <v>111</v>
      </c>
      <c r="F5" s="466"/>
      <c r="G5" s="467" t="s">
        <v>84</v>
      </c>
      <c r="H5" s="468"/>
      <c r="I5" s="467" t="s">
        <v>126</v>
      </c>
      <c r="J5" s="468"/>
      <c r="K5" s="469" t="s">
        <v>112</v>
      </c>
      <c r="L5" s="470"/>
      <c r="M5" s="471"/>
      <c r="N5" s="10"/>
      <c r="P5" s="27"/>
      <c r="Q5" s="4"/>
      <c r="R5" s="4"/>
    </row>
    <row r="6" spans="1:16" s="40" customFormat="1" ht="15">
      <c r="A6" s="32"/>
      <c r="B6" s="33"/>
      <c r="C6" s="34" t="s">
        <v>33</v>
      </c>
      <c r="D6" s="35" t="s">
        <v>34</v>
      </c>
      <c r="E6" s="36" t="s">
        <v>33</v>
      </c>
      <c r="F6" s="37" t="s">
        <v>34</v>
      </c>
      <c r="G6" s="36" t="s">
        <v>33</v>
      </c>
      <c r="H6" s="35" t="s">
        <v>34</v>
      </c>
      <c r="I6" s="36" t="s">
        <v>33</v>
      </c>
      <c r="J6" s="37" t="s">
        <v>34</v>
      </c>
      <c r="K6" s="36"/>
      <c r="L6" s="38" t="s">
        <v>54</v>
      </c>
      <c r="M6" s="39"/>
      <c r="N6" s="33"/>
      <c r="P6" s="33"/>
    </row>
    <row r="7" spans="1:16" ht="9" customHeight="1">
      <c r="A7" s="13"/>
      <c r="B7" s="11"/>
      <c r="C7" s="16"/>
      <c r="D7" s="11"/>
      <c r="E7" s="16"/>
      <c r="F7" s="14"/>
      <c r="G7" s="16"/>
      <c r="H7" s="12"/>
      <c r="I7" s="43"/>
      <c r="J7" s="14"/>
      <c r="K7" s="13"/>
      <c r="L7" s="28"/>
      <c r="M7" s="15"/>
      <c r="N7" s="11"/>
      <c r="P7" s="11"/>
    </row>
    <row r="8" spans="1:18" ht="12.75" customHeight="1">
      <c r="A8" s="17"/>
      <c r="B8" s="3" t="s">
        <v>35</v>
      </c>
      <c r="C8" s="295">
        <v>16354500</v>
      </c>
      <c r="D8" s="296">
        <f aca="true" t="shared" si="0" ref="D8:D30">C8/$C$32</f>
        <v>0.025822712618763635</v>
      </c>
      <c r="E8" s="297">
        <v>24474674</v>
      </c>
      <c r="F8" s="296">
        <f aca="true" t="shared" si="1" ref="F8:F30">E8/$E$32</f>
        <v>0.025403981466311933</v>
      </c>
      <c r="G8" s="298">
        <v>25271980</v>
      </c>
      <c r="H8" s="299">
        <f aca="true" t="shared" si="2" ref="H8:H30">G8/$G$32</f>
        <v>0.025751885913935714</v>
      </c>
      <c r="I8" s="295">
        <f aca="true" t="shared" si="3" ref="I8:I15">ROUND((644161800)*J8/100,0)*100</f>
        <v>16588400</v>
      </c>
      <c r="J8" s="296">
        <f aca="true" t="shared" si="4" ref="J8:J30">H8</f>
        <v>0.025751885913935714</v>
      </c>
      <c r="K8" s="300"/>
      <c r="L8" s="301">
        <f aca="true" t="shared" si="5" ref="L8:L30">I8-C8</f>
        <v>233900</v>
      </c>
      <c r="M8" s="15"/>
      <c r="N8" s="11"/>
      <c r="P8" s="19"/>
      <c r="Q8" s="23"/>
      <c r="R8" s="102"/>
    </row>
    <row r="9" spans="1:18" ht="12.75" customHeight="1">
      <c r="A9" s="17"/>
      <c r="B9" s="3" t="s">
        <v>1</v>
      </c>
      <c r="C9" s="302">
        <v>6235500</v>
      </c>
      <c r="D9" s="296">
        <f t="shared" si="0"/>
        <v>0.009845456879409378</v>
      </c>
      <c r="E9" s="303">
        <v>10254174</v>
      </c>
      <c r="F9" s="296">
        <f t="shared" si="1"/>
        <v>0.010643526702269361</v>
      </c>
      <c r="G9" s="304">
        <v>13143038</v>
      </c>
      <c r="H9" s="299">
        <f t="shared" si="2"/>
        <v>0.013392619618190653</v>
      </c>
      <c r="I9" s="302">
        <f t="shared" si="3"/>
        <v>8627000</v>
      </c>
      <c r="J9" s="296">
        <f t="shared" si="4"/>
        <v>0.013392619618190653</v>
      </c>
      <c r="K9" s="300"/>
      <c r="L9" s="305">
        <f t="shared" si="5"/>
        <v>2391500</v>
      </c>
      <c r="M9" s="15"/>
      <c r="N9" s="18"/>
      <c r="P9" s="18"/>
      <c r="Q9" s="23"/>
      <c r="R9" s="102"/>
    </row>
    <row r="10" spans="1:18" ht="12.75" customHeight="1">
      <c r="A10" s="17"/>
      <c r="B10" s="3" t="s">
        <v>36</v>
      </c>
      <c r="C10" s="302">
        <v>22063600</v>
      </c>
      <c r="D10" s="296">
        <f t="shared" si="0"/>
        <v>0.03483701746524524</v>
      </c>
      <c r="E10" s="303">
        <v>32211452</v>
      </c>
      <c r="F10" s="296">
        <f t="shared" si="1"/>
        <v>0.033434526221309276</v>
      </c>
      <c r="G10" s="304">
        <v>33370245</v>
      </c>
      <c r="H10" s="299">
        <f t="shared" si="2"/>
        <v>0.034003934086687455</v>
      </c>
      <c r="I10" s="302">
        <f t="shared" si="3"/>
        <v>21904000</v>
      </c>
      <c r="J10" s="296">
        <f t="shared" si="4"/>
        <v>0.034003934086687455</v>
      </c>
      <c r="K10" s="300"/>
      <c r="L10" s="305">
        <f t="shared" si="5"/>
        <v>-159600</v>
      </c>
      <c r="M10" s="15"/>
      <c r="N10" s="18"/>
      <c r="P10" s="18"/>
      <c r="Q10" s="23"/>
      <c r="R10" s="102"/>
    </row>
    <row r="11" spans="1:18" ht="12.75" customHeight="1">
      <c r="A11" s="17"/>
      <c r="B11" s="3" t="s">
        <v>37</v>
      </c>
      <c r="C11" s="302">
        <v>28681400</v>
      </c>
      <c r="D11" s="296">
        <f t="shared" si="0"/>
        <v>0.04528610166644088</v>
      </c>
      <c r="E11" s="303">
        <v>41571097</v>
      </c>
      <c r="F11" s="296">
        <f t="shared" si="1"/>
        <v>0.0431495585077969</v>
      </c>
      <c r="G11" s="304">
        <v>42988672</v>
      </c>
      <c r="H11" s="299">
        <f t="shared" si="2"/>
        <v>0.04380501159527677</v>
      </c>
      <c r="I11" s="302">
        <f t="shared" si="3"/>
        <v>28217500</v>
      </c>
      <c r="J11" s="296">
        <f t="shared" si="4"/>
        <v>0.04380501159527677</v>
      </c>
      <c r="K11" s="300"/>
      <c r="L11" s="305">
        <f t="shared" si="5"/>
        <v>-463900</v>
      </c>
      <c r="M11" s="15"/>
      <c r="N11" s="18"/>
      <c r="P11" s="18"/>
      <c r="Q11" s="23"/>
      <c r="R11" s="102"/>
    </row>
    <row r="12" spans="1:18" ht="12.75" customHeight="1">
      <c r="A12" s="17"/>
      <c r="B12" s="3" t="s">
        <v>28</v>
      </c>
      <c r="C12" s="302">
        <v>21870900</v>
      </c>
      <c r="D12" s="296">
        <f t="shared" si="0"/>
        <v>0.03453275645319133</v>
      </c>
      <c r="E12" s="303">
        <v>35685077</v>
      </c>
      <c r="F12" s="296">
        <f t="shared" si="1"/>
        <v>0.03704004534368524</v>
      </c>
      <c r="G12" s="304">
        <v>33738517</v>
      </c>
      <c r="H12" s="299">
        <f t="shared" si="2"/>
        <v>0.03437919944101652</v>
      </c>
      <c r="I12" s="302">
        <f t="shared" si="3"/>
        <v>22145800</v>
      </c>
      <c r="J12" s="296">
        <f t="shared" si="4"/>
        <v>0.03437919944101652</v>
      </c>
      <c r="K12" s="300"/>
      <c r="L12" s="305">
        <f t="shared" si="5"/>
        <v>274900</v>
      </c>
      <c r="M12" s="15"/>
      <c r="N12" s="18"/>
      <c r="P12" s="18"/>
      <c r="Q12" s="23"/>
      <c r="R12" s="102"/>
    </row>
    <row r="13" spans="1:18" ht="12.75" customHeight="1">
      <c r="A13" s="17"/>
      <c r="B13" s="3" t="s">
        <v>38</v>
      </c>
      <c r="C13" s="302">
        <v>36112400</v>
      </c>
      <c r="D13" s="296">
        <f t="shared" si="0"/>
        <v>0.05701917681212143</v>
      </c>
      <c r="E13" s="303">
        <v>54570157</v>
      </c>
      <c r="F13" s="296">
        <f t="shared" si="1"/>
        <v>0.0566421949906966</v>
      </c>
      <c r="G13" s="304">
        <v>56361306</v>
      </c>
      <c r="H13" s="299">
        <f t="shared" si="2"/>
        <v>0.057431587159867195</v>
      </c>
      <c r="I13" s="302">
        <f t="shared" si="3"/>
        <v>36995200</v>
      </c>
      <c r="J13" s="296">
        <f t="shared" si="4"/>
        <v>0.057431587159867195</v>
      </c>
      <c r="K13" s="300"/>
      <c r="L13" s="305">
        <f t="shared" si="5"/>
        <v>882800</v>
      </c>
      <c r="M13" s="15"/>
      <c r="N13" s="18"/>
      <c r="P13" s="18"/>
      <c r="Q13" s="23"/>
      <c r="R13" s="102"/>
    </row>
    <row r="14" spans="1:18" ht="12.75" customHeight="1">
      <c r="A14" s="17"/>
      <c r="B14" s="3" t="s">
        <v>39</v>
      </c>
      <c r="C14" s="302">
        <v>47975400</v>
      </c>
      <c r="D14" s="296">
        <f t="shared" si="0"/>
        <v>0.07575009734141876</v>
      </c>
      <c r="E14" s="303">
        <v>75154247</v>
      </c>
      <c r="F14" s="296">
        <f t="shared" si="1"/>
        <v>0.0780078663316467</v>
      </c>
      <c r="G14" s="304">
        <v>75627701</v>
      </c>
      <c r="H14" s="299">
        <f t="shared" si="2"/>
        <v>0.07706384415013157</v>
      </c>
      <c r="I14" s="302">
        <f t="shared" si="3"/>
        <v>49641600</v>
      </c>
      <c r="J14" s="296">
        <f t="shared" si="4"/>
        <v>0.07706384415013157</v>
      </c>
      <c r="K14" s="300"/>
      <c r="L14" s="305">
        <f t="shared" si="5"/>
        <v>1666200</v>
      </c>
      <c r="M14" s="15"/>
      <c r="N14" s="18"/>
      <c r="P14" s="18"/>
      <c r="Q14" s="23"/>
      <c r="R14" s="102"/>
    </row>
    <row r="15" spans="1:18" ht="12.75" customHeight="1">
      <c r="A15" s="17"/>
      <c r="B15" s="3" t="s">
        <v>40</v>
      </c>
      <c r="C15" s="302">
        <v>13536700</v>
      </c>
      <c r="D15" s="296">
        <f t="shared" si="0"/>
        <v>0.021373586102076965</v>
      </c>
      <c r="E15" s="303">
        <v>19440951</v>
      </c>
      <c r="F15" s="296">
        <f t="shared" si="1"/>
        <v>0.02017912716187674</v>
      </c>
      <c r="G15" s="304">
        <v>20127044</v>
      </c>
      <c r="H15" s="299">
        <f t="shared" si="2"/>
        <v>0.020509249408742977</v>
      </c>
      <c r="I15" s="302">
        <f t="shared" si="3"/>
        <v>13211300</v>
      </c>
      <c r="J15" s="296">
        <f t="shared" si="4"/>
        <v>0.020509249408742977</v>
      </c>
      <c r="K15" s="300"/>
      <c r="L15" s="305">
        <f t="shared" si="5"/>
        <v>-325400</v>
      </c>
      <c r="M15" s="15"/>
      <c r="N15" s="18"/>
      <c r="P15" s="18"/>
      <c r="Q15" s="23"/>
      <c r="R15" s="102"/>
    </row>
    <row r="16" spans="1:18" ht="12.75" customHeight="1">
      <c r="A16" s="17"/>
      <c r="B16" s="3" t="s">
        <v>41</v>
      </c>
      <c r="C16" s="302">
        <v>49992400</v>
      </c>
      <c r="D16" s="296">
        <f t="shared" si="0"/>
        <v>0.0789348117229068</v>
      </c>
      <c r="E16" s="303">
        <v>76777767</v>
      </c>
      <c r="F16" s="296">
        <f t="shared" si="1"/>
        <v>0.07969303165765623</v>
      </c>
      <c r="G16" s="304">
        <v>79288427</v>
      </c>
      <c r="H16" s="299">
        <f t="shared" si="2"/>
        <v>0.08079408603518284</v>
      </c>
      <c r="I16" s="302">
        <f>ROUND((644161800)*J16/100,0)*100-100</f>
        <v>52044400</v>
      </c>
      <c r="J16" s="296">
        <f t="shared" si="4"/>
        <v>0.08079408603518284</v>
      </c>
      <c r="K16" s="300"/>
      <c r="L16" s="305">
        <f t="shared" si="5"/>
        <v>2052000</v>
      </c>
      <c r="M16" s="15"/>
      <c r="N16" s="18"/>
      <c r="P16" s="18"/>
      <c r="Q16" s="23"/>
      <c r="R16" s="102"/>
    </row>
    <row r="17" spans="1:18" ht="12.75" customHeight="1">
      <c r="A17" s="17"/>
      <c r="B17" s="3" t="s">
        <v>42</v>
      </c>
      <c r="C17" s="302">
        <v>43368200</v>
      </c>
      <c r="D17" s="296">
        <f t="shared" si="0"/>
        <v>0.06847562232982146</v>
      </c>
      <c r="E17" s="303">
        <v>70069954</v>
      </c>
      <c r="F17" s="296">
        <f t="shared" si="1"/>
        <v>0.07273052187585133</v>
      </c>
      <c r="G17" s="304">
        <v>67374555</v>
      </c>
      <c r="H17" s="299">
        <f t="shared" si="2"/>
        <v>0.06865397384226274</v>
      </c>
      <c r="I17" s="302">
        <f>ROUND((644161800)*J17/100,0)*100</f>
        <v>44224300</v>
      </c>
      <c r="J17" s="296">
        <f t="shared" si="4"/>
        <v>0.06865397384226274</v>
      </c>
      <c r="K17" s="300"/>
      <c r="L17" s="305">
        <f t="shared" si="5"/>
        <v>856100</v>
      </c>
      <c r="M17" s="15"/>
      <c r="N17" s="18"/>
      <c r="P17" s="18"/>
      <c r="Q17" s="23"/>
      <c r="R17" s="102"/>
    </row>
    <row r="18" spans="1:18" ht="12.75" customHeight="1">
      <c r="A18" s="17"/>
      <c r="B18" s="3" t="s">
        <v>9</v>
      </c>
      <c r="C18" s="302">
        <v>1546100</v>
      </c>
      <c r="D18" s="296">
        <f t="shared" si="0"/>
        <v>0.0024411933094787646</v>
      </c>
      <c r="E18" s="303">
        <v>2010416</v>
      </c>
      <c r="F18" s="296">
        <f t="shared" si="1"/>
        <v>0.002086751831855941</v>
      </c>
      <c r="G18" s="304">
        <v>2612533</v>
      </c>
      <c r="H18" s="299">
        <f t="shared" si="2"/>
        <v>0.002662144072699971</v>
      </c>
      <c r="I18" s="302">
        <f>167000+ROUND((644161800)*J18/100,0)*100</f>
        <v>1881900</v>
      </c>
      <c r="J18" s="296">
        <f t="shared" si="4"/>
        <v>0.002662144072699971</v>
      </c>
      <c r="K18" s="300"/>
      <c r="L18" s="305">
        <f t="shared" si="5"/>
        <v>335800</v>
      </c>
      <c r="M18" s="15"/>
      <c r="N18" s="18"/>
      <c r="P18" s="18"/>
      <c r="Q18" s="23"/>
      <c r="R18" s="102"/>
    </row>
    <row r="19" spans="1:18" ht="12.75" customHeight="1">
      <c r="A19" s="17"/>
      <c r="B19" s="3" t="s">
        <v>10</v>
      </c>
      <c r="C19" s="302">
        <v>8505100</v>
      </c>
      <c r="D19" s="296">
        <f t="shared" si="0"/>
        <v>0.013429010553293992</v>
      </c>
      <c r="E19" s="303">
        <v>13131373</v>
      </c>
      <c r="F19" s="296">
        <f t="shared" si="1"/>
        <v>0.01362997342964523</v>
      </c>
      <c r="G19" s="304">
        <v>14908021</v>
      </c>
      <c r="H19" s="299">
        <f t="shared" si="2"/>
        <v>0.015191119017764253</v>
      </c>
      <c r="I19" s="302">
        <f aca="true" t="shared" si="6" ref="I19:I30">ROUND((644161800)*J19/100,0)*100</f>
        <v>9785500</v>
      </c>
      <c r="J19" s="296">
        <f t="shared" si="4"/>
        <v>0.015191119017764253</v>
      </c>
      <c r="K19" s="300"/>
      <c r="L19" s="305">
        <f t="shared" si="5"/>
        <v>1280400</v>
      </c>
      <c r="M19" s="15"/>
      <c r="N19" s="18"/>
      <c r="P19" s="18"/>
      <c r="Q19" s="23"/>
      <c r="R19" s="102"/>
    </row>
    <row r="20" spans="1:18" ht="12.75" customHeight="1">
      <c r="A20" s="17"/>
      <c r="B20" s="3" t="s">
        <v>43</v>
      </c>
      <c r="C20" s="302">
        <v>54515200</v>
      </c>
      <c r="D20" s="296">
        <f t="shared" si="0"/>
        <v>0.08607602451645867</v>
      </c>
      <c r="E20" s="303">
        <v>82413057</v>
      </c>
      <c r="F20" s="296">
        <f t="shared" si="1"/>
        <v>0.08554229456172159</v>
      </c>
      <c r="G20" s="304">
        <v>82887317</v>
      </c>
      <c r="H20" s="299">
        <f t="shared" si="2"/>
        <v>0.0844613176765819</v>
      </c>
      <c r="I20" s="302">
        <f t="shared" si="6"/>
        <v>54406800</v>
      </c>
      <c r="J20" s="296">
        <f t="shared" si="4"/>
        <v>0.0844613176765819</v>
      </c>
      <c r="K20" s="300"/>
      <c r="L20" s="305">
        <f t="shared" si="5"/>
        <v>-108400</v>
      </c>
      <c r="M20" s="15"/>
      <c r="N20" s="18"/>
      <c r="P20" s="18"/>
      <c r="Q20" s="23"/>
      <c r="R20" s="102"/>
    </row>
    <row r="21" spans="1:18" ht="12.75" customHeight="1">
      <c r="A21" s="17"/>
      <c r="B21" s="3" t="s">
        <v>44</v>
      </c>
      <c r="C21" s="302">
        <v>30328700</v>
      </c>
      <c r="D21" s="296">
        <f t="shared" si="0"/>
        <v>0.047887083322675515</v>
      </c>
      <c r="E21" s="303">
        <v>45430212</v>
      </c>
      <c r="F21" s="296">
        <f t="shared" si="1"/>
        <v>0.04715520474996406</v>
      </c>
      <c r="G21" s="304">
        <v>46580517</v>
      </c>
      <c r="H21" s="299">
        <f t="shared" si="2"/>
        <v>0.047465064454630904</v>
      </c>
      <c r="I21" s="302">
        <f t="shared" si="6"/>
        <v>30575200</v>
      </c>
      <c r="J21" s="296">
        <f t="shared" si="4"/>
        <v>0.047465064454630904</v>
      </c>
      <c r="K21" s="300"/>
      <c r="L21" s="305">
        <f t="shared" si="5"/>
        <v>246500</v>
      </c>
      <c r="M21" s="15"/>
      <c r="N21" s="18"/>
      <c r="P21" s="18"/>
      <c r="Q21" s="23"/>
      <c r="R21" s="102"/>
    </row>
    <row r="22" spans="1:18" ht="12.75" customHeight="1">
      <c r="A22" s="17"/>
      <c r="B22" s="3" t="s">
        <v>45</v>
      </c>
      <c r="C22" s="302">
        <v>42609600</v>
      </c>
      <c r="D22" s="296">
        <f t="shared" si="0"/>
        <v>0.06727784130364554</v>
      </c>
      <c r="E22" s="303">
        <v>63816984</v>
      </c>
      <c r="F22" s="296">
        <f t="shared" si="1"/>
        <v>0.06624012555885014</v>
      </c>
      <c r="G22" s="304">
        <v>65384080</v>
      </c>
      <c r="H22" s="299">
        <f t="shared" si="2"/>
        <v>0.06662570042979006</v>
      </c>
      <c r="I22" s="302">
        <f t="shared" si="6"/>
        <v>42917700</v>
      </c>
      <c r="J22" s="296">
        <f t="shared" si="4"/>
        <v>0.06662570042979006</v>
      </c>
      <c r="K22" s="300"/>
      <c r="L22" s="305">
        <f t="shared" si="5"/>
        <v>308100</v>
      </c>
      <c r="M22" s="15"/>
      <c r="N22" s="18"/>
      <c r="P22" s="18"/>
      <c r="Q22" s="23"/>
      <c r="R22" s="102"/>
    </row>
    <row r="23" spans="1:18" ht="12.75" customHeight="1">
      <c r="A23" s="17"/>
      <c r="B23" s="3" t="s">
        <v>46</v>
      </c>
      <c r="C23" s="302">
        <v>33205600</v>
      </c>
      <c r="D23" s="296">
        <f t="shared" si="0"/>
        <v>0.05242952497071863</v>
      </c>
      <c r="E23" s="303">
        <v>50972863</v>
      </c>
      <c r="F23" s="296">
        <f t="shared" si="1"/>
        <v>0.05290831113570122</v>
      </c>
      <c r="G23" s="304">
        <v>50757507</v>
      </c>
      <c r="H23" s="299">
        <f t="shared" si="2"/>
        <v>0.051721374009467934</v>
      </c>
      <c r="I23" s="302">
        <f t="shared" si="6"/>
        <v>33316900</v>
      </c>
      <c r="J23" s="296">
        <f t="shared" si="4"/>
        <v>0.051721374009467934</v>
      </c>
      <c r="K23" s="300"/>
      <c r="L23" s="305">
        <f t="shared" si="5"/>
        <v>111300</v>
      </c>
      <c r="M23" s="15"/>
      <c r="N23" s="18"/>
      <c r="P23" s="18"/>
      <c r="Q23" s="23"/>
      <c r="R23" s="102"/>
    </row>
    <row r="24" spans="1:18" ht="12.75" customHeight="1">
      <c r="A24" s="17"/>
      <c r="B24" s="3" t="s">
        <v>47</v>
      </c>
      <c r="C24" s="302">
        <v>41381900</v>
      </c>
      <c r="D24" s="296">
        <f t="shared" si="0"/>
        <v>0.06533938129067932</v>
      </c>
      <c r="E24" s="303">
        <v>62684684</v>
      </c>
      <c r="F24" s="296">
        <f t="shared" si="1"/>
        <v>0.06506483193842011</v>
      </c>
      <c r="G24" s="304">
        <v>61711049</v>
      </c>
      <c r="H24" s="299">
        <f t="shared" si="2"/>
        <v>0.06288291987716423</v>
      </c>
      <c r="I24" s="302">
        <f t="shared" si="6"/>
        <v>40506800</v>
      </c>
      <c r="J24" s="296">
        <f t="shared" si="4"/>
        <v>0.06288291987716423</v>
      </c>
      <c r="K24" s="300"/>
      <c r="L24" s="305">
        <f t="shared" si="5"/>
        <v>-875100</v>
      </c>
      <c r="M24" s="15"/>
      <c r="N24" s="18"/>
      <c r="P24" s="18"/>
      <c r="Q24" s="23"/>
      <c r="R24" s="102"/>
    </row>
    <row r="25" spans="1:18" ht="12.75" customHeight="1">
      <c r="A25" s="17"/>
      <c r="B25" s="3" t="s">
        <v>48</v>
      </c>
      <c r="C25" s="302">
        <v>44188700</v>
      </c>
      <c r="D25" s="296">
        <f t="shared" si="0"/>
        <v>0.06977113950880556</v>
      </c>
      <c r="E25" s="303">
        <v>67390417</v>
      </c>
      <c r="F25" s="296">
        <f t="shared" si="1"/>
        <v>0.06994924240768366</v>
      </c>
      <c r="G25" s="304">
        <v>67604441</v>
      </c>
      <c r="H25" s="299">
        <f t="shared" si="2"/>
        <v>0.06888822529565938</v>
      </c>
      <c r="I25" s="302">
        <f t="shared" si="6"/>
        <v>44375200</v>
      </c>
      <c r="J25" s="296">
        <f t="shared" si="4"/>
        <v>0.06888822529565938</v>
      </c>
      <c r="K25" s="300"/>
      <c r="L25" s="305">
        <f t="shared" si="5"/>
        <v>186500</v>
      </c>
      <c r="M25" s="15"/>
      <c r="N25" s="18"/>
      <c r="P25" s="18"/>
      <c r="Q25" s="23"/>
      <c r="R25" s="102"/>
    </row>
    <row r="26" spans="1:18" ht="12.75" customHeight="1">
      <c r="A26" s="17"/>
      <c r="B26" s="3" t="s">
        <v>49</v>
      </c>
      <c r="C26" s="302">
        <v>36068900</v>
      </c>
      <c r="D26" s="296">
        <f t="shared" si="0"/>
        <v>0.05695049308599613</v>
      </c>
      <c r="E26" s="303">
        <v>57345551</v>
      </c>
      <c r="F26" s="296">
        <f t="shared" si="1"/>
        <v>0.05952297116519083</v>
      </c>
      <c r="G26" s="304">
        <v>58205017</v>
      </c>
      <c r="H26" s="299">
        <f t="shared" si="2"/>
        <v>0.05931030957616652</v>
      </c>
      <c r="I26" s="302">
        <f t="shared" si="6"/>
        <v>38205400</v>
      </c>
      <c r="J26" s="296">
        <f t="shared" si="4"/>
        <v>0.05931030957616652</v>
      </c>
      <c r="K26" s="300"/>
      <c r="L26" s="305">
        <f t="shared" si="5"/>
        <v>2136500</v>
      </c>
      <c r="M26" s="15"/>
      <c r="N26" s="18"/>
      <c r="P26" s="18"/>
      <c r="Q26" s="23"/>
      <c r="R26" s="102"/>
    </row>
    <row r="27" spans="1:18" ht="12.75" customHeight="1">
      <c r="A27" s="17"/>
      <c r="B27" s="3" t="s">
        <v>50</v>
      </c>
      <c r="C27" s="302">
        <v>13831100</v>
      </c>
      <c r="D27" s="296">
        <f t="shared" si="0"/>
        <v>0.021838424929003133</v>
      </c>
      <c r="E27" s="303">
        <v>19262269</v>
      </c>
      <c r="F27" s="296">
        <f t="shared" si="1"/>
        <v>0.019993660576443834</v>
      </c>
      <c r="G27" s="304">
        <v>20234044</v>
      </c>
      <c r="H27" s="299">
        <f t="shared" si="2"/>
        <v>0.02061828130069569</v>
      </c>
      <c r="I27" s="302">
        <f t="shared" si="6"/>
        <v>13281500</v>
      </c>
      <c r="J27" s="296">
        <f t="shared" si="4"/>
        <v>0.02061828130069569</v>
      </c>
      <c r="K27" s="300"/>
      <c r="L27" s="305">
        <f t="shared" si="5"/>
        <v>-549600</v>
      </c>
      <c r="M27" s="15"/>
      <c r="N27" s="18"/>
      <c r="P27" s="18"/>
      <c r="Q27" s="23"/>
      <c r="R27" s="102"/>
    </row>
    <row r="28" spans="1:18" ht="12.75" customHeight="1">
      <c r="A28" s="17"/>
      <c r="B28" s="3" t="s">
        <v>51</v>
      </c>
      <c r="C28" s="302">
        <v>14992800</v>
      </c>
      <c r="D28" s="296">
        <f t="shared" si="0"/>
        <v>0.023672675150606833</v>
      </c>
      <c r="E28" s="303">
        <v>21948623</v>
      </c>
      <c r="F28" s="296">
        <f t="shared" si="1"/>
        <v>0.022782015887241963</v>
      </c>
      <c r="G28" s="304">
        <v>24631206</v>
      </c>
      <c r="H28" s="299">
        <f t="shared" si="2"/>
        <v>0.025098943843523493</v>
      </c>
      <c r="I28" s="302">
        <f t="shared" si="6"/>
        <v>16167800</v>
      </c>
      <c r="J28" s="296">
        <f t="shared" si="4"/>
        <v>0.025098943843523493</v>
      </c>
      <c r="K28" s="300"/>
      <c r="L28" s="305">
        <f t="shared" si="5"/>
        <v>1175000</v>
      </c>
      <c r="M28" s="15"/>
      <c r="N28" s="18"/>
      <c r="P28" s="18"/>
      <c r="Q28" s="23"/>
      <c r="R28" s="102"/>
    </row>
    <row r="29" spans="1:18" ht="12.75" customHeight="1">
      <c r="A29" s="17"/>
      <c r="B29" s="3" t="s">
        <v>52</v>
      </c>
      <c r="C29" s="302">
        <v>10030700</v>
      </c>
      <c r="D29" s="296">
        <f t="shared" si="0"/>
        <v>0.015837835670001063</v>
      </c>
      <c r="E29" s="303">
        <v>14039931</v>
      </c>
      <c r="F29" s="296">
        <f t="shared" si="1"/>
        <v>0.014573029528903974</v>
      </c>
      <c r="G29" s="304">
        <v>14854015</v>
      </c>
      <c r="H29" s="299">
        <f t="shared" si="2"/>
        <v>0.01513608746302782</v>
      </c>
      <c r="I29" s="302">
        <f t="shared" si="6"/>
        <v>9750100</v>
      </c>
      <c r="J29" s="296">
        <f t="shared" si="4"/>
        <v>0.01513608746302782</v>
      </c>
      <c r="K29" s="300"/>
      <c r="L29" s="305">
        <f t="shared" si="5"/>
        <v>-280600</v>
      </c>
      <c r="M29" s="15"/>
      <c r="N29" s="18"/>
      <c r="P29" s="18"/>
      <c r="Q29" s="23"/>
      <c r="R29" s="102"/>
    </row>
    <row r="30" spans="1:18" ht="12.75" customHeight="1">
      <c r="A30" s="17"/>
      <c r="B30" s="3" t="s">
        <v>53</v>
      </c>
      <c r="C30" s="302">
        <v>15942400</v>
      </c>
      <c r="D30" s="296">
        <f t="shared" si="0"/>
        <v>0.025172032997240967</v>
      </c>
      <c r="E30" s="303">
        <v>22762896</v>
      </c>
      <c r="F30" s="296">
        <f t="shared" si="1"/>
        <v>0.02362720696927714</v>
      </c>
      <c r="G30" s="304">
        <v>23703010</v>
      </c>
      <c r="H30" s="299">
        <f t="shared" si="2"/>
        <v>0.024153121731533396</v>
      </c>
      <c r="I30" s="302">
        <f t="shared" si="6"/>
        <v>15558500</v>
      </c>
      <c r="J30" s="296">
        <f t="shared" si="4"/>
        <v>0.024153121731533396</v>
      </c>
      <c r="K30" s="300"/>
      <c r="L30" s="305">
        <f t="shared" si="5"/>
        <v>-383900</v>
      </c>
      <c r="M30" s="15"/>
      <c r="N30" s="18"/>
      <c r="P30" s="18"/>
      <c r="Q30" s="23"/>
      <c r="R30" s="102"/>
    </row>
    <row r="31" spans="1:15" ht="12.75" customHeight="1">
      <c r="A31" s="17"/>
      <c r="C31" s="306"/>
      <c r="D31" s="307"/>
      <c r="E31" s="308"/>
      <c r="F31" s="309"/>
      <c r="G31" s="310"/>
      <c r="H31" s="24"/>
      <c r="I31" s="306"/>
      <c r="J31" s="309"/>
      <c r="K31" s="311"/>
      <c r="L31" s="305"/>
      <c r="M31" s="15"/>
      <c r="N31" s="18"/>
      <c r="O31" s="18"/>
    </row>
    <row r="32" spans="1:17" ht="15.75" customHeight="1">
      <c r="A32" s="20"/>
      <c r="B32" s="312" t="s">
        <v>22</v>
      </c>
      <c r="C32" s="313">
        <f>SUM(C8:C31)</f>
        <v>633337800</v>
      </c>
      <c r="D32" s="314">
        <f>SUM(D8:D30)</f>
        <v>0.9999999999999998</v>
      </c>
      <c r="E32" s="315">
        <f>SUM(E8:E30)</f>
        <v>963418826</v>
      </c>
      <c r="F32" s="316">
        <f>SUM(F8:F30)</f>
        <v>0.9999999999999999</v>
      </c>
      <c r="G32" s="317">
        <f>SUM(G8:G30)</f>
        <v>981364242</v>
      </c>
      <c r="H32" s="314">
        <f>SUM(H8:H30)</f>
        <v>1.0000000000000002</v>
      </c>
      <c r="I32" s="317">
        <f>SUM(I8:I31)</f>
        <v>644328800</v>
      </c>
      <c r="J32" s="316">
        <f>SUM(J8:J30)</f>
        <v>1.0000000000000002</v>
      </c>
      <c r="K32" s="318"/>
      <c r="L32" s="319">
        <f>SUM(L8:L31)</f>
        <v>10991000</v>
      </c>
      <c r="M32" s="21"/>
      <c r="N32" s="23"/>
      <c r="O32" s="22"/>
      <c r="Q32" s="31"/>
    </row>
    <row r="33" spans="3:17" ht="12.75">
      <c r="C33" s="24"/>
      <c r="D33" s="24"/>
      <c r="E33" s="24"/>
      <c r="F33" s="25"/>
      <c r="G33" s="24"/>
      <c r="H33" s="24"/>
      <c r="I33" s="123"/>
      <c r="J33" s="24"/>
      <c r="K33" s="24"/>
      <c r="L33" s="107"/>
      <c r="M33" s="23"/>
      <c r="O33" s="30"/>
      <c r="Q33" s="31"/>
    </row>
    <row r="34" spans="1:17" ht="18">
      <c r="A34" s="198" t="s">
        <v>127</v>
      </c>
      <c r="C34" s="26"/>
      <c r="G34" s="124"/>
      <c r="I34" s="106"/>
      <c r="J34" s="26"/>
      <c r="K34" s="26"/>
      <c r="L34" s="106"/>
      <c r="O34" s="30"/>
      <c r="Q34" s="31"/>
    </row>
    <row r="35" spans="3:17" ht="12.75">
      <c r="C35" s="42"/>
      <c r="I35" s="26"/>
      <c r="L35" s="26"/>
      <c r="Q35" s="101"/>
    </row>
    <row r="36" ht="12.75">
      <c r="C36" s="26"/>
    </row>
  </sheetData>
  <sheetProtection/>
  <mergeCells count="6">
    <mergeCell ref="E4:M4"/>
    <mergeCell ref="C5:D5"/>
    <mergeCell ref="E5:F5"/>
    <mergeCell ref="G5:H5"/>
    <mergeCell ref="I5:J5"/>
    <mergeCell ref="K5:M5"/>
  </mergeCells>
  <printOptions horizontalCentered="1"/>
  <pageMargins left="0.25" right="0.25" top="0.5" bottom="0.25" header="0.5" footer="0.5"/>
  <pageSetup fitToHeight="1" fitToWidth="1" horizontalDpi="600" verticalDpi="600" orientation="landscape"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California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Rodney Rideau</dc:creator>
  <cp:keywords/>
  <dc:description/>
  <cp:lastModifiedBy>Kemsley, Chris</cp:lastModifiedBy>
  <cp:lastPrinted>2014-08-26T20:48:06Z</cp:lastPrinted>
  <dcterms:created xsi:type="dcterms:W3CDTF">2005-01-20T22:46:37Z</dcterms:created>
  <dcterms:modified xsi:type="dcterms:W3CDTF">2018-11-15T22:35:32Z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0x0101008F1107925717494DA363C8461863197E</vt:lpwstr>
  </property>
  <property fmtid="{D5CDD505-2E9C-101B-9397-08002B2CF9AE}" pid="3" name="_dlc_DocIdItemGuid">
    <vt:lpwstr>748fdaa4-ac85-449d-a26a-342fab30ef1a</vt:lpwstr>
  </property>
  <property fmtid="{D5CDD505-2E9C-101B-9397-08002B2CF9AE}" pid="4" name="PublishingExpirationDate">
    <vt:lpwstr/>
  </property>
  <property fmtid="{D5CDD505-2E9C-101B-9397-08002B2CF9AE}" pid="5" name="PublishingStartDate">
    <vt:lpwstr/>
  </property>
  <property fmtid="{D5CDD505-2E9C-101B-9397-08002B2CF9AE}" pid="6" name="_dlc_DocId">
    <vt:lpwstr>72WVDYXX2UNK-1717399031-178</vt:lpwstr>
  </property>
  <property fmtid="{D5CDD505-2E9C-101B-9397-08002B2CF9AE}" pid="7" name="_dlc_DocIdUrl">
    <vt:lpwstr>https://update.calstate.edu/csu-system/about-the-csu/budget/_layouts/15/DocIdRedir.aspx?ID=72WVDYXX2UNK-1717399031-178, 72WVDYXX2UNK-1717399031-178</vt:lpwstr>
  </property>
</Properties>
</file>